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ckl\Documents\NPHPC\5. NPHPC files\4. Financials\1. 2021-2022 financials\Monthly financials\December 2021\"/>
    </mc:Choice>
  </mc:AlternateContent>
  <xr:revisionPtr revIDLastSave="0" documentId="13_ncr:1_{75C77A75-B337-4FAE-9B53-0E3B53A928F4}" xr6:coauthVersionLast="47" xr6:coauthVersionMax="47" xr10:uidLastSave="{00000000-0000-0000-0000-000000000000}"/>
  <bookViews>
    <workbookView xWindow="-108" yWindow="-108" windowWidth="23256" windowHeight="12576" firstSheet="1" activeTab="5" xr2:uid="{E2737098-9B57-40D8-BCA1-57A537BC4FB6}"/>
  </bookViews>
  <sheets>
    <sheet name="Cashbook Summary" sheetId="1" r:id="rId1"/>
    <sheet name="Expenditure Summary" sheetId="3" r:id="rId2"/>
    <sheet name="Expenditure Summary 2" sheetId="4" r:id="rId3"/>
    <sheet name="Income Summary" sheetId="2" r:id="rId4"/>
    <sheet name="Bank Receipts December" sheetId="5" r:id="rId5"/>
    <sheet name="Payments to date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K9" i="2"/>
  <c r="J9" i="2"/>
  <c r="I9" i="2"/>
  <c r="H9" i="2"/>
  <c r="G9" i="2"/>
  <c r="F9" i="2"/>
  <c r="E9" i="2"/>
  <c r="D9" i="2"/>
  <c r="C9" i="2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F17" i="2" s="1"/>
  <c r="E7" i="2"/>
  <c r="D7" i="2"/>
  <c r="C7" i="2"/>
  <c r="K6" i="2"/>
  <c r="J6" i="2"/>
  <c r="I6" i="2"/>
  <c r="H6" i="2"/>
  <c r="G6" i="2"/>
  <c r="F6" i="2"/>
  <c r="E6" i="2"/>
  <c r="D6" i="2"/>
  <c r="C6" i="2"/>
  <c r="K5" i="2"/>
  <c r="K17" i="2" s="1"/>
  <c r="J5" i="2"/>
  <c r="I5" i="2"/>
  <c r="H5" i="2"/>
  <c r="G5" i="2"/>
  <c r="F5" i="2"/>
  <c r="E5" i="2"/>
  <c r="E17" i="2" s="1"/>
  <c r="D5" i="2"/>
  <c r="C5" i="2"/>
  <c r="F72" i="1"/>
  <c r="F71" i="1"/>
  <c r="F74" i="1" s="1"/>
  <c r="F65" i="1"/>
  <c r="F62" i="1"/>
  <c r="F61" i="1"/>
  <c r="F60" i="1"/>
  <c r="F59" i="1"/>
  <c r="F58" i="1"/>
  <c r="F56" i="1"/>
  <c r="F54" i="1"/>
  <c r="F53" i="1"/>
  <c r="F52" i="1"/>
  <c r="F51" i="1"/>
  <c r="F49" i="1"/>
  <c r="F47" i="1"/>
  <c r="F46" i="1"/>
  <c r="F45" i="1"/>
  <c r="F44" i="1"/>
  <c r="F67" i="1" s="1"/>
  <c r="F76" i="1" s="1"/>
  <c r="G38" i="1"/>
  <c r="G34" i="1"/>
  <c r="F37" i="1" s="1"/>
  <c r="F40" i="1" s="1"/>
  <c r="D17" i="2" l="1"/>
  <c r="I17" i="2"/>
  <c r="H17" i="2"/>
  <c r="C17" i="2"/>
  <c r="G17" i="2"/>
  <c r="J19" i="2" s="1"/>
  <c r="E21" i="2" s="1"/>
  <c r="J17" i="2"/>
  <c r="E20" i="2"/>
  <c r="E23" i="2" l="1"/>
  <c r="F13" i="1" l="1"/>
  <c r="F15" i="1" s="1"/>
  <c r="F17" i="1"/>
  <c r="F23" i="1" l="1"/>
  <c r="F19" i="1"/>
  <c r="F25" i="1" s="1"/>
  <c r="K41" i="1" l="1"/>
  <c r="F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tc={5A9C76B2-203D-43BE-8D76-C7187E0101C2}</author>
    <author>thecl</author>
    <author>User</author>
  </authors>
  <commentList>
    <comment ref="G35" authorId="0" shapeId="0" xr:uid="{5A9C76B2-203D-43BE-8D76-C7187E0101C2}">
      <text>
        <t>[Threaded comment]
Your version of Excel allows you to read this threaded comment; however, any edits to it will get removed if the file is opened in a newer version of Excel. Learn more: https://go.microsoft.com/fwlink/?linkid=870924
Comment:
    £7.23 unreconciled difference</t>
      </text>
    </comment>
    <comment ref="F44" authorId="1" shapeId="0" xr:uid="{481358AC-6BC9-4B85-951D-BA214B1AED8C}">
      <text>
        <r>
          <rPr>
            <b/>
            <sz val="11"/>
            <color indexed="81"/>
            <rFont val="Tahoma"/>
            <family val="2"/>
          </rPr>
          <t>Endowment Released OCT 2021</t>
        </r>
      </text>
    </comment>
    <comment ref="F45" authorId="1" shapeId="0" xr:uid="{7970B926-E4B4-41F4-86A2-F6B04FC1AD0B}">
      <text>
        <r>
          <rPr>
            <sz val="11"/>
            <color indexed="81"/>
            <rFont val="Tahoma"/>
            <family val="2"/>
          </rPr>
          <t xml:space="preserve">£2000 vired 21/22
Lawrence Contractors £8494, less £340 L&amp;M Maintenance pre-works
</t>
        </r>
      </text>
    </comment>
    <comment ref="F47" authorId="1" shapeId="0" xr:uid="{7179F5B3-5A68-49EF-9524-892FD1A14E70}">
      <text>
        <r>
          <rPr>
            <b/>
            <sz val="9"/>
            <color indexed="81"/>
            <rFont val="Tahoma"/>
            <family val="2"/>
          </rPr>
          <t xml:space="preserve">Vired FC as part of final EOY accounts
12.3.19
£2000 extra vired 4/20
£2000 extra vired 4/21
</t>
        </r>
      </text>
    </comment>
    <comment ref="F48" authorId="2" shapeId="0" xr:uid="{EECA898C-1BE3-43C5-B899-282BB9DBB8D3}">
      <text>
        <r>
          <rPr>
            <b/>
            <sz val="9"/>
            <color indexed="81"/>
            <rFont val="Tahoma"/>
            <family val="2"/>
          </rPr>
          <t>Co-operative Pc's contributions and EDDC grant awards
Vire at y/e to new fund?</t>
        </r>
      </text>
    </comment>
    <comment ref="F49" authorId="2" shapeId="0" xr:uid="{F149E754-C76A-4304-910A-1A8924D00313}">
      <text>
        <r>
          <rPr>
            <b/>
            <sz val="9"/>
            <color indexed="81"/>
            <rFont val="Tahoma"/>
            <family val="2"/>
          </rPr>
          <t xml:space="preserve">Adj. required NOV19 for loss on event 2019
£695.25 vired April 20/21
£3950+£20+£100 from Fireworks event added NOV21
Deduct £695.15 Events expend.
</t>
        </r>
      </text>
    </comment>
    <comment ref="B50" authorId="1" shapeId="0" xr:uid="{1FE0157A-AD5F-4F02-BD3B-FE9F01B42C8D}">
      <text>
        <r>
          <rPr>
            <b/>
            <sz val="11"/>
            <color indexed="81"/>
            <rFont val="Tahoma"/>
            <family val="2"/>
          </rPr>
          <t>Created NOV 2021</t>
        </r>
      </text>
    </comment>
    <comment ref="F51" authorId="1" shapeId="0" xr:uid="{25545F4C-CE04-4995-9295-36B6519514B5}">
      <text>
        <r>
          <rPr>
            <b/>
            <sz val="9"/>
            <color indexed="81"/>
            <rFont val="Tahoma"/>
            <family val="2"/>
          </rPr>
          <t xml:space="preserve">£400 vired 19/20
£400 vired 20/21
£400 vired 21/22
</t>
        </r>
      </text>
    </comment>
    <comment ref="F52" authorId="2" shapeId="0" xr:uid="{842D39F3-5AD2-47DD-8EF3-AEB32F0AE432}">
      <text>
        <r>
          <rPr>
            <b/>
            <sz val="9"/>
            <color indexed="81"/>
            <rFont val="Tahoma"/>
            <family val="2"/>
          </rPr>
          <t xml:space="preserve">Tamar £487.40
Dan Churchill £1300
Tamar £487.40 Bal.
Less £500 fees for plans
£5500 added as per FinComm resn. 18.2.21
£1410 vired 4/21
</t>
        </r>
      </text>
    </comment>
    <comment ref="F54" authorId="1" shapeId="0" xr:uid="{AE402D86-9629-4F06-9000-9624B15297E4}">
      <text>
        <r>
          <rPr>
            <b/>
            <sz val="9"/>
            <color indexed="81"/>
            <rFont val="Tahoma"/>
            <family val="2"/>
          </rPr>
          <t xml:space="preserve">Reduced by overspend 18/19 FY
£336 vired 4/20
£500 vired 4/21 and £840.30 CQ from SWW added too
Deduct £260.87 Trugs
Deduct £816.66 EcoToilet (2)
</t>
        </r>
      </text>
    </comment>
    <comment ref="F55" authorId="1" shapeId="0" xr:uid="{03D12774-B07F-4A08-A8E3-BEDAFB45C8CF}">
      <text>
        <r>
          <rPr>
            <b/>
            <sz val="11"/>
            <color indexed="81"/>
            <rFont val="Tahoma"/>
            <family val="2"/>
          </rPr>
          <t>3A £50 22.11.2021</t>
        </r>
      </text>
    </comment>
    <comment ref="F56" authorId="1" shapeId="0" xr:uid="{76A439A0-65BA-4ABF-ACBD-538CC55CE03C}">
      <text>
        <r>
          <rPr>
            <b/>
            <sz val="11"/>
            <color indexed="81"/>
            <rFont val="Tahoma"/>
            <family val="2"/>
          </rPr>
          <t>£3000 added originally, and £1000 vired 4/21
Less expenditure and repairs</t>
        </r>
      </text>
    </comment>
    <comment ref="F58" authorId="1" shapeId="0" xr:uid="{C4A489EF-79F0-40BF-9A48-5A4042E49A68}">
      <text>
        <r>
          <rPr>
            <b/>
            <sz val="9"/>
            <color indexed="81"/>
            <rFont val="Tahoma"/>
            <family val="2"/>
          </rPr>
          <t xml:space="preserve">FC vired another £250 March 2019
</t>
        </r>
      </text>
    </comment>
    <comment ref="F59" authorId="1" shapeId="0" xr:uid="{ABE1FA27-3B5C-4382-9BAA-89D970BA0A70}">
      <text>
        <r>
          <rPr>
            <b/>
            <sz val="9"/>
            <color indexed="81"/>
            <rFont val="Tahoma"/>
            <family val="2"/>
          </rPr>
          <t xml:space="preserve">£200 vired 19/20
£200 vired 20/21
£200 vired 21/22
New pad PAV £94 AUG21
</t>
        </r>
      </text>
    </comment>
    <comment ref="F60" authorId="1" shapeId="0" xr:uid="{B2ACECE2-3025-4FDE-813D-E60D7DCBA668}">
      <text>
        <r>
          <rPr>
            <b/>
            <sz val="9"/>
            <color indexed="81"/>
            <rFont val="Tahoma"/>
            <family val="2"/>
          </rPr>
          <t xml:space="preserve">£200 vired 19/20
£200 vired 20/21
£200 vired 21/22
</t>
        </r>
      </text>
    </comment>
    <comment ref="F61" authorId="1" shapeId="0" xr:uid="{F24E3445-C7FD-4CA3-BB70-3B63BAF79688}">
      <text>
        <r>
          <rPr>
            <b/>
            <sz val="9"/>
            <color indexed="81"/>
            <rFont val="Tahoma"/>
            <family val="2"/>
          </rPr>
          <t xml:space="preserve">£2000 vired 4/20
£1000 vired 4/21
#538.83 Xmas Tree
</t>
        </r>
      </text>
    </comment>
    <comment ref="F62" authorId="1" shapeId="0" xr:uid="{1C65E2F3-8903-451F-9ADE-D0CF1879C28F}">
      <text>
        <r>
          <rPr>
            <b/>
            <sz val="9"/>
            <color indexed="81"/>
            <rFont val="Tahoma"/>
            <family val="2"/>
          </rPr>
          <t xml:space="preserve">DCC CV-19 fund receipt
</t>
        </r>
      </text>
    </comment>
    <comment ref="F63" authorId="1" shapeId="0" xr:uid="{3DB60453-191A-4EB5-8D9F-FEC8C650BF0F}">
      <text>
        <r>
          <rPr>
            <b/>
            <sz val="11"/>
            <color indexed="81"/>
            <rFont val="Tahoma"/>
            <family val="2"/>
          </rPr>
          <t>To be considered by Fin.Comm 18/2/21</t>
        </r>
      </text>
    </comment>
    <comment ref="F65" authorId="2" shapeId="0" xr:uid="{B77163F3-5AB1-4C8F-B378-D15DB7B4161F}">
      <text>
        <r>
          <rPr>
            <b/>
            <sz val="9"/>
            <color indexed="81"/>
            <rFont val="Tahoma"/>
            <family val="2"/>
          </rPr>
          <t>Held in separate account as per guidelines (UTB)</t>
        </r>
      </text>
    </comment>
    <comment ref="F71" authorId="1" shapeId="0" xr:uid="{DB278C06-52D4-435F-A0EA-9D66606FEA93}">
      <text>
        <r>
          <rPr>
            <b/>
            <sz val="9"/>
            <color indexed="81"/>
            <rFont val="Tahoma"/>
            <family val="2"/>
          </rPr>
          <t xml:space="preserve">Used £4699 for s.106 prepayment for fencing &amp; £xxxxx for s.106 prepayment for play gazebo
Less £400 grant for OHS
£4600 vired in 4/20
</t>
        </r>
      </text>
    </comment>
    <comment ref="H71" authorId="2" shapeId="0" xr:uid="{BABE997E-8713-4BFE-AE29-C5B75D4CC2E2}">
      <text>
        <r>
          <rPr>
            <b/>
            <sz val="9"/>
            <color indexed="81"/>
            <rFont val="Tahoma"/>
            <family val="2"/>
          </rPr>
          <t xml:space="preserve">General Reserves used to fund loan to NPPFF as per resolution of Council. £5100 loaned, £3400 returned OCT18
£2750 vired AUG21
</t>
        </r>
      </text>
    </comment>
    <comment ref="F72" authorId="1" shapeId="0" xr:uid="{B33B79B7-8960-409B-8882-4E0EF8642809}">
      <text>
        <r>
          <rPr>
            <b/>
            <sz val="9"/>
            <color indexed="81"/>
            <rFont val="Tahoma"/>
            <family val="2"/>
          </rPr>
          <t xml:space="preserve">£247.16 vired 4/20
£1000 grant May 2021
£836.58 spent June 2021 on FP3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thecl</author>
  </authors>
  <commentList>
    <comment ref="D8" authorId="0" shapeId="0" xr:uid="{920019A3-3AEE-4615-B6B4-F49F94AA051B}">
      <text>
        <r>
          <rPr>
            <b/>
            <sz val="11"/>
            <color indexed="81"/>
            <rFont val="Tahoma"/>
            <family val="2"/>
          </rPr>
          <t>s.137 Donation - Sidmouth Food Bank CV19 reserve used</t>
        </r>
      </text>
    </comment>
    <comment ref="L8" authorId="0" shapeId="0" xr:uid="{4E440182-5D53-458E-AF73-923C06E91ECA}">
      <text>
        <r>
          <rPr>
            <b/>
            <sz val="11"/>
            <color indexed="81"/>
            <rFont val="Tahoma"/>
            <family val="2"/>
          </rPr>
          <t>Eco-Toilet Asset purchase</t>
        </r>
      </text>
    </comment>
    <comment ref="D9" authorId="0" shapeId="0" xr:uid="{394D4FA3-E7C8-41FA-B971-94A8E0EB427C}">
      <text>
        <r>
          <rPr>
            <b/>
            <sz val="11"/>
            <color indexed="81"/>
            <rFont val="Tahoma"/>
            <family val="2"/>
          </rPr>
          <t xml:space="preserve">Poppy Appeal = 2 wreaths
</t>
        </r>
      </text>
    </comment>
    <comment ref="L9" authorId="0" shapeId="0" xr:uid="{D91D0439-870F-4DE9-8ED4-52D44EFD20B8}">
      <text>
        <r>
          <rPr>
            <b/>
            <sz val="11"/>
            <color indexed="81"/>
            <rFont val="Tahoma"/>
            <family val="2"/>
          </rPr>
          <t>IT asset purchase</t>
        </r>
      </text>
    </comment>
  </commentList>
</comments>
</file>

<file path=xl/sharedStrings.xml><?xml version="1.0" encoding="utf-8"?>
<sst xmlns="http://schemas.openxmlformats.org/spreadsheetml/2006/main" count="219" uniqueCount="143">
  <si>
    <t>NPHPC Current Cashbook Summary 2021/22
( including earmarked reserves )</t>
  </si>
  <si>
    <t>Opening Bank Balances 1/4/2021</t>
  </si>
  <si>
    <t>Lloyds Current</t>
  </si>
  <si>
    <t>Lloyds 32day term</t>
  </si>
  <si>
    <t>NWB CIL</t>
  </si>
  <si>
    <t>UTB 1</t>
  </si>
  <si>
    <t>UTB 2</t>
  </si>
  <si>
    <t>UTB Deposit</t>
  </si>
  <si>
    <t>Plus, Income receipts</t>
  </si>
  <si>
    <t>Auto-Cell</t>
  </si>
  <si>
    <t>Less, payments previously approved</t>
  </si>
  <si>
    <t>Balance as already approved:</t>
  </si>
  <si>
    <t>A</t>
  </si>
  <si>
    <r>
      <t xml:space="preserve">Less, payments </t>
    </r>
    <r>
      <rPr>
        <b/>
        <u/>
        <sz val="12"/>
        <color rgb="FFFF0000"/>
        <rFont val="Calibri"/>
        <family val="2"/>
        <scheme val="minor"/>
      </rPr>
      <t>to be</t>
    </r>
    <r>
      <rPr>
        <b/>
        <sz val="12"/>
        <color rgb="FFFF0000"/>
        <rFont val="Calibri"/>
        <family val="2"/>
        <scheme val="minor"/>
      </rPr>
      <t xml:space="preserve"> approved</t>
    </r>
  </si>
  <si>
    <t>B</t>
  </si>
  <si>
    <t>Expenditure for year to date:</t>
  </si>
  <si>
    <t>Actual Balance as per cash book figures</t>
  </si>
  <si>
    <t>C</t>
  </si>
  <si>
    <t>( A - B )</t>
  </si>
  <si>
    <t>Represented by: ( see Bank reconciliation )</t>
  </si>
  <si>
    <t>Natwest Bank Plc - Current Account</t>
  </si>
  <si>
    <t>Unity Trust Bank (No. 1 Current Account)</t>
  </si>
  <si>
    <t>Unity Trust Bank (No. 2 Current Account)</t>
  </si>
  <si>
    <t>(CIL)</t>
  </si>
  <si>
    <t>Unity Trust Bank (Instant Access Deposit)</t>
  </si>
  <si>
    <t>Lloyds Bank Plc - Treasurers Account</t>
  </si>
  <si>
    <t>Lloyds Bank Plc - 32 day Notice Account</t>
  </si>
  <si>
    <t>Balance as per statements</t>
  </si>
  <si>
    <t>Recon.</t>
  </si>
  <si>
    <t>Plus, Receipts not yet reconciled</t>
  </si>
  <si>
    <t xml:space="preserve">Plus, any pre-payments made </t>
  </si>
  <si>
    <t>Cash Assets held by Council</t>
  </si>
  <si>
    <t>Less, payments not yet cleared</t>
  </si>
  <si>
    <t>Less, payments not yet approved (B)</t>
  </si>
  <si>
    <t>Earmarked reserves as at ( Dec. 2021 )</t>
  </si>
  <si>
    <t>Rev:</t>
  </si>
  <si>
    <t>Spend By:</t>
  </si>
  <si>
    <t>Venn Ottery Village Green Fund</t>
  </si>
  <si>
    <t>n/a</t>
  </si>
  <si>
    <t>NPHPC Amenity Repairs Fund</t>
  </si>
  <si>
    <t>NPHPC Neighbourhood Plan</t>
  </si>
  <si>
    <t>Cemetery Wall Repair Fund</t>
  </si>
  <si>
    <t>Parishes Together AED 2017/18</t>
  </si>
  <si>
    <t>Community Events Fund</t>
  </si>
  <si>
    <t>Platinum Jubilee Event Reserve</t>
  </si>
  <si>
    <t>Election Costs Reserve Fund</t>
  </si>
  <si>
    <t>WC Refurbishment Fund</t>
  </si>
  <si>
    <t>DAAT NLS Project</t>
  </si>
  <si>
    <t>Allotment Reserve</t>
  </si>
  <si>
    <t>Allotment Deposits retained</t>
  </si>
  <si>
    <t>Play Equipment Sinking Fund</t>
  </si>
  <si>
    <t>MUGA Improvement Sinking Fund</t>
  </si>
  <si>
    <t>IT capital fund</t>
  </si>
  <si>
    <t>Defibrillators Sinking Fund (AED)</t>
  </si>
  <si>
    <t>Night Landing Site Sinking Fund</t>
  </si>
  <si>
    <t>Tree / CCED Reserve</t>
  </si>
  <si>
    <t>CV-19 Resilience</t>
  </si>
  <si>
    <t>Cemetery Reserve Fund</t>
  </si>
  <si>
    <t>TBA</t>
  </si>
  <si>
    <t>NPHPC CIL receipts Fund (UTB)</t>
  </si>
  <si>
    <t>5 years f. 2017</t>
  </si>
  <si>
    <t>Sub-Total: Earmarked reserves</t>
  </si>
  <si>
    <t>D</t>
  </si>
  <si>
    <t>Non-earmarked reserves ( DEC. 2021 )</t>
  </si>
  <si>
    <t>General Reserves</t>
  </si>
  <si>
    <t>Set at 50% of current precept</t>
  </si>
  <si>
    <t>P3 (Footpath) Working Reserves</t>
  </si>
  <si>
    <t>Sub-Total: Non-earmarked reserves</t>
  </si>
  <si>
    <t>E</t>
  </si>
  <si>
    <t>Total NPHPC reserves</t>
  </si>
  <si>
    <t>F</t>
  </si>
  <si>
    <t>( D + E )</t>
  </si>
  <si>
    <t>Available working funds:</t>
  </si>
  <si>
    <t>G</t>
  </si>
  <si>
    <t>( C - F )</t>
  </si>
  <si>
    <t>Vacant</t>
  </si>
  <si>
    <t>Cllr. C Burhop (Chair)</t>
  </si>
  <si>
    <t>Annual Summary of Newton Poppleford and Harpford Parish Council accounts cashbook 2021/22</t>
  </si>
  <si>
    <t>Income ( see Receipts Tab )</t>
  </si>
  <si>
    <t>Month:</t>
  </si>
  <si>
    <t>Precept</t>
  </si>
  <si>
    <t>Cemetery</t>
  </si>
  <si>
    <t>Allotm.</t>
  </si>
  <si>
    <t>Surgery</t>
  </si>
  <si>
    <t>NPPFF</t>
  </si>
  <si>
    <t>Grants In</t>
  </si>
  <si>
    <t>CIL/S.106</t>
  </si>
  <si>
    <t>Other</t>
  </si>
  <si>
    <t>VAT recv.</t>
  </si>
  <si>
    <t>Other Receipts</t>
  </si>
  <si>
    <t>Staff Costs</t>
  </si>
  <si>
    <t>Admin.</t>
  </si>
  <si>
    <t>Cemet.</t>
  </si>
  <si>
    <t>WC</t>
  </si>
  <si>
    <t>Parish
Maint.</t>
  </si>
  <si>
    <t>Hall Hire</t>
  </si>
  <si>
    <t>Grants
paid</t>
  </si>
  <si>
    <t>S.137
Expend.</t>
  </si>
  <si>
    <t>Loan to
NPPFF</t>
  </si>
  <si>
    <t>PWLB Loan
Pymnts</t>
  </si>
  <si>
    <t>Parish 
Events</t>
  </si>
  <si>
    <t>P/Togeth.</t>
  </si>
  <si>
    <t>Flood
Mitigation</t>
  </si>
  <si>
    <t>P3 Exp.</t>
  </si>
  <si>
    <t>NHP
Exp.</t>
  </si>
  <si>
    <t>Asset
Purchase</t>
  </si>
  <si>
    <t>Capital
Projects</t>
  </si>
  <si>
    <t>Cllrs.
Allow.</t>
  </si>
  <si>
    <t>VAT
Incrrd</t>
  </si>
  <si>
    <t>Loan Repayment</t>
  </si>
  <si>
    <t>Other Expenditure</t>
  </si>
  <si>
    <t>MNTH Total</t>
  </si>
  <si>
    <t>December</t>
  </si>
  <si>
    <t>BACS</t>
  </si>
  <si>
    <t>CEM</t>
  </si>
  <si>
    <t>Cemetery Fees received</t>
  </si>
  <si>
    <t>BIRD St Lukes</t>
  </si>
  <si>
    <t>VAT</t>
  </si>
  <si>
    <t>HMRC VAT</t>
  </si>
  <si>
    <t>VAT reclaimed 1/9 to 30/11/21</t>
  </si>
  <si>
    <t>Autodeposit</t>
  </si>
  <si>
    <t>ALLOT</t>
  </si>
  <si>
    <t>6 x plot fees received</t>
  </si>
  <si>
    <t>See Paying in slip for details</t>
  </si>
  <si>
    <t>SURG</t>
  </si>
  <si>
    <t>CMP Quarterly Licence Fee</t>
  </si>
  <si>
    <t>Surgery Licence Fee Q3</t>
  </si>
  <si>
    <t>INTEREST</t>
  </si>
  <si>
    <t>Unity Trust Bank Int.</t>
  </si>
  <si>
    <t>Payment interest 2021</t>
  </si>
  <si>
    <t>Tenancy Fees x 1 plot</t>
  </si>
  <si>
    <t>Thompson 26C/D</t>
  </si>
  <si>
    <t xml:space="preserve">Showell </t>
  </si>
  <si>
    <t>Tenancy Fees x 2 plots</t>
  </si>
  <si>
    <t>Young 8AB 9AB</t>
  </si>
  <si>
    <t>Tenancy Fee x 1 plot</t>
  </si>
  <si>
    <t>James</t>
  </si>
  <si>
    <t>Ferguson 14C/D</t>
  </si>
  <si>
    <t>CASH DEPOSIT</t>
  </si>
  <si>
    <t>EVENT</t>
  </si>
  <si>
    <t>Concession Fee Bonfire Night</t>
  </si>
  <si>
    <t>Contra to NPPFF</t>
  </si>
  <si>
    <t>Abbott 21A/B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</si>
</sst>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&quot;£&quot;#,##0.00;[Red]&quot;£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9D08E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/>
    <xf numFmtId="164" fontId="11" fillId="0" borderId="0" xfId="0" applyNumberFormat="1" applyFont="1" applyAlignment="1">
      <alignment horizontal="right"/>
    </xf>
    <xf numFmtId="0" fontId="8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7" fillId="0" borderId="3" xfId="0" applyFont="1" applyBorder="1"/>
    <xf numFmtId="17" fontId="14" fillId="0" borderId="0" xfId="0" applyNumberFormat="1" applyFont="1" applyAlignment="1">
      <alignment horizontal="center"/>
    </xf>
    <xf numFmtId="164" fontId="7" fillId="6" borderId="8" xfId="0" applyNumberFormat="1" applyFont="1" applyFill="1" applyBorder="1"/>
    <xf numFmtId="164" fontId="7" fillId="0" borderId="9" xfId="0" applyNumberFormat="1" applyFont="1" applyBorder="1"/>
    <xf numFmtId="0" fontId="3" fillId="0" borderId="0" xfId="0" applyFont="1" applyAlignment="1">
      <alignment horizontal="center"/>
    </xf>
    <xf numFmtId="164" fontId="7" fillId="7" borderId="8" xfId="0" applyNumberFormat="1" applyFont="1" applyFill="1" applyBorder="1"/>
    <xf numFmtId="0" fontId="14" fillId="0" borderId="3" xfId="0" applyFont="1" applyBorder="1"/>
    <xf numFmtId="164" fontId="7" fillId="3" borderId="10" xfId="0" applyNumberFormat="1" applyFont="1" applyFill="1" applyBorder="1"/>
    <xf numFmtId="49" fontId="9" fillId="0" borderId="0" xfId="0" applyNumberFormat="1" applyFont="1" applyAlignment="1">
      <alignment horizontal="center"/>
    </xf>
    <xf numFmtId="0" fontId="9" fillId="0" borderId="3" xfId="0" applyFont="1" applyBorder="1"/>
    <xf numFmtId="164" fontId="9" fillId="0" borderId="9" xfId="0" applyNumberFormat="1" applyFont="1" applyBorder="1"/>
    <xf numFmtId="0" fontId="9" fillId="0" borderId="11" xfId="0" applyFont="1" applyBorder="1"/>
    <xf numFmtId="0" fontId="9" fillId="0" borderId="12" xfId="0" applyFont="1" applyBorder="1"/>
    <xf numFmtId="164" fontId="15" fillId="0" borderId="13" xfId="0" applyNumberFormat="1" applyFont="1" applyBorder="1"/>
    <xf numFmtId="164" fontId="16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17" fontId="12" fillId="0" borderId="0" xfId="0" applyNumberFormat="1" applyFont="1" applyAlignment="1">
      <alignment horizontal="center"/>
    </xf>
    <xf numFmtId="0" fontId="3" fillId="0" borderId="0" xfId="0" applyFont="1"/>
    <xf numFmtId="0" fontId="1" fillId="0" borderId="15" xfId="0" applyFont="1" applyBorder="1"/>
    <xf numFmtId="166" fontId="1" fillId="0" borderId="0" xfId="0" applyNumberFormat="1" applyFont="1"/>
    <xf numFmtId="17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" fillId="0" borderId="12" xfId="0" applyFont="1" applyBorder="1"/>
    <xf numFmtId="0" fontId="18" fillId="0" borderId="12" xfId="0" applyFont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5" fontId="22" fillId="9" borderId="8" xfId="0" applyNumberFormat="1" applyFont="1" applyFill="1" applyBorder="1" applyAlignment="1">
      <alignment horizontal="center" vertical="center"/>
    </xf>
    <xf numFmtId="165" fontId="2" fillId="9" borderId="8" xfId="0" applyNumberFormat="1" applyFont="1" applyFill="1" applyBorder="1" applyAlignment="1">
      <alignment horizontal="center" vertical="center"/>
    </xf>
    <xf numFmtId="165" fontId="23" fillId="8" borderId="0" xfId="0" applyNumberFormat="1" applyFont="1" applyFill="1" applyAlignment="1">
      <alignment horizontal="center" vertical="center"/>
    </xf>
    <xf numFmtId="165" fontId="4" fillId="8" borderId="0" xfId="0" applyNumberFormat="1" applyFont="1" applyFill="1" applyAlignment="1">
      <alignment horizontal="center" vertical="center"/>
    </xf>
    <xf numFmtId="165" fontId="2" fillId="8" borderId="0" xfId="0" applyNumberFormat="1" applyFont="1" applyFill="1" applyAlignment="1">
      <alignment horizontal="center" vertical="center"/>
    </xf>
    <xf numFmtId="165" fontId="22" fillId="10" borderId="8" xfId="0" applyNumberFormat="1" applyFont="1" applyFill="1" applyBorder="1" applyAlignment="1">
      <alignment horizontal="center" vertical="center"/>
    </xf>
    <xf numFmtId="165" fontId="1" fillId="8" borderId="0" xfId="0" applyNumberFormat="1" applyFont="1" applyFill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22" fillId="11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165" fontId="25" fillId="14" borderId="21" xfId="0" applyNumberFormat="1" applyFont="1" applyFill="1" applyBorder="1" applyAlignment="1">
      <alignment horizontal="center" vertical="center"/>
    </xf>
    <xf numFmtId="165" fontId="25" fillId="14" borderId="8" xfId="0" applyNumberFormat="1" applyFont="1" applyFill="1" applyBorder="1" applyAlignment="1">
      <alignment horizontal="center" vertical="center"/>
    </xf>
    <xf numFmtId="165" fontId="26" fillId="14" borderId="8" xfId="0" applyNumberFormat="1" applyFont="1" applyFill="1" applyBorder="1" applyAlignment="1">
      <alignment horizontal="center" vertical="center"/>
    </xf>
    <xf numFmtId="165" fontId="25" fillId="14" borderId="22" xfId="0" applyNumberFormat="1" applyFont="1" applyFill="1" applyBorder="1" applyAlignment="1">
      <alignment horizontal="center" vertical="center"/>
    </xf>
    <xf numFmtId="165" fontId="24" fillId="0" borderId="2" xfId="0" applyNumberFormat="1" applyFont="1" applyBorder="1" applyAlignment="1">
      <alignment horizontal="center" vertical="center"/>
    </xf>
    <xf numFmtId="165" fontId="24" fillId="0" borderId="8" xfId="0" applyNumberFormat="1" applyFont="1" applyBorder="1" applyAlignment="1">
      <alignment horizontal="center" vertical="center"/>
    </xf>
    <xf numFmtId="165" fontId="24" fillId="12" borderId="8" xfId="0" applyNumberFormat="1" applyFont="1" applyFill="1" applyBorder="1" applyAlignment="1">
      <alignment horizontal="center" vertical="center"/>
    </xf>
    <xf numFmtId="165" fontId="24" fillId="13" borderId="8" xfId="0" applyNumberFormat="1" applyFont="1" applyFill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 vertical="center"/>
    </xf>
    <xf numFmtId="165" fontId="25" fillId="0" borderId="2" xfId="0" applyNumberFormat="1" applyFont="1" applyBorder="1" applyAlignment="1">
      <alignment horizontal="center" vertical="center"/>
    </xf>
    <xf numFmtId="165" fontId="25" fillId="0" borderId="8" xfId="0" applyNumberFormat="1" applyFont="1" applyBorder="1" applyAlignment="1">
      <alignment horizontal="center" vertical="center"/>
    </xf>
    <xf numFmtId="165" fontId="25" fillId="12" borderId="8" xfId="0" applyNumberFormat="1" applyFont="1" applyFill="1" applyBorder="1" applyAlignment="1">
      <alignment horizontal="center" vertical="center"/>
    </xf>
    <xf numFmtId="165" fontId="25" fillId="13" borderId="8" xfId="0" applyNumberFormat="1" applyFont="1" applyFill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 vertical="center"/>
    </xf>
    <xf numFmtId="165" fontId="26" fillId="14" borderId="21" xfId="0" applyNumberFormat="1" applyFont="1" applyFill="1" applyBorder="1" applyAlignment="1">
      <alignment horizontal="center" vertical="center"/>
    </xf>
    <xf numFmtId="165" fontId="26" fillId="14" borderId="22" xfId="0" applyNumberFormat="1" applyFont="1" applyFill="1" applyBorder="1" applyAlignment="1">
      <alignment horizontal="center" vertical="center"/>
    </xf>
    <xf numFmtId="165" fontId="29" fillId="13" borderId="8" xfId="0" applyNumberFormat="1" applyFont="1" applyFill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65" fontId="24" fillId="15" borderId="21" xfId="0" applyNumberFormat="1" applyFont="1" applyFill="1" applyBorder="1" applyAlignment="1">
      <alignment horizontal="center" vertical="center"/>
    </xf>
    <xf numFmtId="165" fontId="24" fillId="15" borderId="8" xfId="0" applyNumberFormat="1" applyFont="1" applyFill="1" applyBorder="1" applyAlignment="1">
      <alignment horizontal="center" vertical="center"/>
    </xf>
    <xf numFmtId="165" fontId="24" fillId="15" borderId="22" xfId="0" applyNumberFormat="1" applyFont="1" applyFill="1" applyBorder="1" applyAlignment="1">
      <alignment horizontal="center" vertical="center"/>
    </xf>
    <xf numFmtId="165" fontId="24" fillId="15" borderId="2" xfId="0" applyNumberFormat="1" applyFont="1" applyFill="1" applyBorder="1" applyAlignment="1">
      <alignment horizontal="center" vertical="center"/>
    </xf>
    <xf numFmtId="165" fontId="24" fillId="15" borderId="1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7" fontId="24" fillId="0" borderId="0" xfId="0" applyNumberFormat="1" applyFont="1" applyAlignment="1">
      <alignment horizontal="center" vertical="center"/>
    </xf>
    <xf numFmtId="165" fontId="25" fillId="16" borderId="17" xfId="0" applyNumberFormat="1" applyFont="1" applyFill="1" applyBorder="1" applyAlignment="1">
      <alignment horizontal="center" vertical="center"/>
    </xf>
    <xf numFmtId="165" fontId="25" fillId="17" borderId="1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/>
    <xf numFmtId="14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4" fontId="11" fillId="6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7" fillId="4" borderId="15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7" fillId="4" borderId="4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4" fontId="7" fillId="0" borderId="0" xfId="0" applyNumberFormat="1" applyFont="1" applyAlignment="1">
      <alignment horizontal="center"/>
    </xf>
    <xf numFmtId="164" fontId="12" fillId="3" borderId="1" xfId="0" applyNumberFormat="1" applyFont="1" applyFill="1" applyBorder="1" applyAlignment="1">
      <alignment horizontal="right"/>
    </xf>
    <xf numFmtId="164" fontId="12" fillId="3" borderId="2" xfId="0" applyNumberFormat="1" applyFont="1" applyFill="1" applyBorder="1" applyAlignment="1">
      <alignment horizontal="right"/>
    </xf>
    <xf numFmtId="164" fontId="11" fillId="5" borderId="1" xfId="0" applyNumberFormat="1" applyFont="1" applyFill="1" applyBorder="1" applyAlignment="1">
      <alignment horizontal="right"/>
    </xf>
    <xf numFmtId="164" fontId="11" fillId="5" borderId="2" xfId="0" applyNumberFormat="1" applyFont="1" applyFill="1" applyBorder="1" applyAlignment="1">
      <alignment horizontal="right"/>
    </xf>
    <xf numFmtId="0" fontId="7" fillId="3" borderId="14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164" fontId="7" fillId="3" borderId="15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lor theme="1"/>
      </font>
    </dxf>
    <dxf>
      <font>
        <b/>
        <i val="0"/>
        <strike val="0"/>
      </font>
      <numFmt numFmtId="165" formatCode="&quot;£&quot;#,##0.00"/>
    </dxf>
    <dxf>
      <font>
        <b/>
        <i val="0"/>
        <color rgb="FF000000"/>
      </font>
    </dxf>
    <dxf>
      <font>
        <b/>
        <i val="0"/>
        <strike val="0"/>
      </font>
      <numFmt numFmtId="165" formatCode="&quot;£&quot;#,##0.00"/>
    </dxf>
    <dxf>
      <font>
        <b/>
        <i val="0"/>
        <color rgb="FF000000"/>
      </font>
    </dxf>
    <dxf>
      <font>
        <b/>
        <i val="0"/>
        <strike val="0"/>
      </font>
      <numFmt numFmtId="165" formatCode="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ckl/Documents/NPHPC/5.%20NPHPC%20files/4.%20Financials/1.%202021-2022%20financials/1.%20Cashbook%20summary%20and%20analysis%202021-22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Book Summary 21-22"/>
      <sheetName val="Annual 21-22"/>
      <sheetName val="Income Tab 21-22"/>
      <sheetName val="Staff Costs  21-22"/>
      <sheetName val="Admin 21-22"/>
      <sheetName val="Cemetery 21-22"/>
      <sheetName val="Allotments 21-22"/>
      <sheetName val="Surgery 21-22"/>
      <sheetName val="WC 21-22"/>
      <sheetName val="Parish Maintenance 21-22"/>
    </sheetNames>
    <sheetDataSet>
      <sheetData sheetId="0" refreshError="1"/>
      <sheetData sheetId="1">
        <row r="17">
          <cell r="AH17">
            <v>73714.209999999992</v>
          </cell>
        </row>
        <row r="19">
          <cell r="J19">
            <v>72613.59</v>
          </cell>
        </row>
      </sheetData>
      <sheetData sheetId="2">
        <row r="6">
          <cell r="C6">
            <v>23750</v>
          </cell>
          <cell r="E6">
            <v>840.3</v>
          </cell>
          <cell r="S6">
            <v>31.04</v>
          </cell>
        </row>
        <row r="7">
          <cell r="L7">
            <v>1000</v>
          </cell>
        </row>
        <row r="8">
          <cell r="D8">
            <v>25</v>
          </cell>
          <cell r="F8">
            <v>625</v>
          </cell>
          <cell r="U8">
            <v>422.31</v>
          </cell>
          <cell r="V8">
            <v>824.49</v>
          </cell>
        </row>
        <row r="9">
          <cell r="D9">
            <v>312</v>
          </cell>
          <cell r="L9">
            <v>750</v>
          </cell>
        </row>
        <row r="10">
          <cell r="D10">
            <v>3150</v>
          </cell>
          <cell r="U10">
            <v>87.87</v>
          </cell>
        </row>
        <row r="11">
          <cell r="C11">
            <v>23750</v>
          </cell>
          <cell r="E11">
            <v>36</v>
          </cell>
          <cell r="F11">
            <v>625</v>
          </cell>
          <cell r="V11">
            <v>1611.8</v>
          </cell>
        </row>
        <row r="12">
          <cell r="D12">
            <v>120</v>
          </cell>
          <cell r="E12">
            <v>63</v>
          </cell>
          <cell r="H12">
            <v>412</v>
          </cell>
          <cell r="I12">
            <v>850</v>
          </cell>
          <cell r="Q12">
            <v>1371.75</v>
          </cell>
          <cell r="U12">
            <v>333</v>
          </cell>
        </row>
        <row r="13">
          <cell r="D13">
            <v>860</v>
          </cell>
          <cell r="E13">
            <v>279.5</v>
          </cell>
          <cell r="H13">
            <v>106.35</v>
          </cell>
          <cell r="R13">
            <v>4130</v>
          </cell>
          <cell r="U13">
            <v>132.55000000000001</v>
          </cell>
        </row>
        <row r="14">
          <cell r="D14">
            <v>430</v>
          </cell>
          <cell r="E14">
            <v>274.5</v>
          </cell>
          <cell r="F14">
            <v>625</v>
          </cell>
          <cell r="R14">
            <v>127.5</v>
          </cell>
          <cell r="V14">
            <v>3637.63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ul Hayward" id="{5B694E41-C7C8-4E9E-89AE-9D5A677BC949}" userId="e8fc41dcfd1ca8f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5" dT="2022-02-08T12:09:03.31" personId="{5B694E41-C7C8-4E9E-89AE-9D5A677BC949}" id="{5A9C76B2-203D-43BE-8D76-C7187E0101C2}">
    <text>£7.23 unreconciled difference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E370-6357-4C32-BB79-160D43660461}">
  <dimension ref="A1:K84"/>
  <sheetViews>
    <sheetView topLeftCell="A17" workbookViewId="0">
      <selection activeCell="L26" sqref="L26"/>
    </sheetView>
  </sheetViews>
  <sheetFormatPr defaultRowHeight="14.4" x14ac:dyDescent="0.3"/>
  <cols>
    <col min="1" max="1" width="9.109375" bestFit="1" customWidth="1"/>
    <col min="2" max="2" width="41.33203125" bestFit="1" customWidth="1"/>
    <col min="5" max="5" width="10.5546875" bestFit="1" customWidth="1"/>
    <col min="7" max="7" width="12.88671875" bestFit="1" customWidth="1"/>
  </cols>
  <sheetData>
    <row r="1" spans="1:11" x14ac:dyDescent="0.3">
      <c r="A1" s="1"/>
      <c r="B1" s="150" t="s">
        <v>0</v>
      </c>
      <c r="C1" s="150"/>
      <c r="D1" s="150"/>
      <c r="E1" s="150"/>
      <c r="F1" s="150"/>
      <c r="G1" s="150"/>
      <c r="H1" s="2"/>
      <c r="I1" s="2"/>
      <c r="J1" s="2"/>
      <c r="K1" s="2"/>
    </row>
    <row r="2" spans="1:11" x14ac:dyDescent="0.3">
      <c r="A2" s="1"/>
      <c r="B2" s="150"/>
      <c r="C2" s="150"/>
      <c r="D2" s="150"/>
      <c r="E2" s="150"/>
      <c r="F2" s="150"/>
      <c r="G2" s="150"/>
      <c r="H2" s="2"/>
      <c r="I2" s="2"/>
      <c r="J2" s="2"/>
      <c r="K2" s="2"/>
    </row>
    <row r="3" spans="1:11" x14ac:dyDescent="0.3">
      <c r="A3" s="1"/>
      <c r="B3" s="150"/>
      <c r="C3" s="150"/>
      <c r="D3" s="150"/>
      <c r="E3" s="150"/>
      <c r="F3" s="150"/>
      <c r="G3" s="150"/>
      <c r="H3" s="2"/>
      <c r="I3" s="2"/>
      <c r="J3" s="2"/>
      <c r="K3" s="2"/>
    </row>
    <row r="4" spans="1:11" x14ac:dyDescent="0.3">
      <c r="A4" s="1"/>
      <c r="B4" s="150"/>
      <c r="C4" s="150"/>
      <c r="D4" s="150"/>
      <c r="E4" s="150"/>
      <c r="F4" s="150"/>
      <c r="G4" s="150"/>
      <c r="H4" s="2"/>
      <c r="I4" s="2"/>
      <c r="J4" s="2"/>
      <c r="K4" s="2"/>
    </row>
    <row r="5" spans="1:11" ht="15.6" x14ac:dyDescent="0.3">
      <c r="A5" s="1"/>
      <c r="B5" s="3" t="s">
        <v>1</v>
      </c>
      <c r="C5" s="2"/>
      <c r="D5" s="2"/>
      <c r="E5" s="2"/>
      <c r="F5" s="151">
        <v>111151.02</v>
      </c>
      <c r="G5" s="152"/>
      <c r="H5" s="2"/>
      <c r="I5" s="2"/>
      <c r="J5" s="2"/>
      <c r="K5" s="2"/>
    </row>
    <row r="6" spans="1:11" ht="15.6" x14ac:dyDescent="0.3">
      <c r="A6" s="1"/>
      <c r="B6" s="4" t="s">
        <v>2</v>
      </c>
      <c r="C6" s="2"/>
      <c r="D6" s="2"/>
      <c r="E6" s="2"/>
      <c r="F6" s="140">
        <v>43568.1</v>
      </c>
      <c r="G6" s="141"/>
      <c r="H6" s="2"/>
      <c r="I6" s="2"/>
      <c r="J6" s="2"/>
      <c r="K6" s="2"/>
    </row>
    <row r="7" spans="1:11" ht="15.6" x14ac:dyDescent="0.3">
      <c r="A7" s="1"/>
      <c r="B7" s="4" t="s">
        <v>3</v>
      </c>
      <c r="C7" s="2"/>
      <c r="D7" s="2"/>
      <c r="E7" s="2"/>
      <c r="F7" s="140">
        <v>0</v>
      </c>
      <c r="G7" s="141"/>
      <c r="H7" s="2"/>
      <c r="I7" s="2"/>
      <c r="J7" s="2"/>
      <c r="K7" s="2"/>
    </row>
    <row r="8" spans="1:11" ht="15.6" x14ac:dyDescent="0.3">
      <c r="A8" s="1"/>
      <c r="B8" s="4" t="s">
        <v>4</v>
      </c>
      <c r="C8" s="2"/>
      <c r="D8" s="2"/>
      <c r="E8" s="2"/>
      <c r="F8" s="140">
        <v>0</v>
      </c>
      <c r="G8" s="141"/>
      <c r="H8" s="2"/>
      <c r="I8" s="2"/>
      <c r="J8" s="2"/>
      <c r="K8" s="2"/>
    </row>
    <row r="9" spans="1:11" ht="15.6" x14ac:dyDescent="0.3">
      <c r="A9" s="1"/>
      <c r="B9" s="4" t="s">
        <v>5</v>
      </c>
      <c r="C9" s="2"/>
      <c r="D9" s="2"/>
      <c r="E9" s="2"/>
      <c r="F9" s="140">
        <v>446</v>
      </c>
      <c r="G9" s="141"/>
      <c r="H9" s="2"/>
      <c r="I9" s="2"/>
      <c r="J9" s="2"/>
      <c r="K9" s="2"/>
    </row>
    <row r="10" spans="1:11" ht="15.6" x14ac:dyDescent="0.3">
      <c r="A10" s="1"/>
      <c r="B10" s="4" t="s">
        <v>6</v>
      </c>
      <c r="C10" s="2"/>
      <c r="D10" s="2"/>
      <c r="E10" s="2"/>
      <c r="F10" s="140">
        <v>16741.46</v>
      </c>
      <c r="G10" s="141"/>
      <c r="H10" s="2"/>
      <c r="I10" s="2"/>
      <c r="J10" s="2"/>
      <c r="K10" s="2"/>
    </row>
    <row r="11" spans="1:11" ht="15.6" x14ac:dyDescent="0.3">
      <c r="A11" s="1"/>
      <c r="B11" s="4" t="s">
        <v>7</v>
      </c>
      <c r="C11" s="2"/>
      <c r="D11" s="2"/>
      <c r="E11" s="2"/>
      <c r="F11" s="140">
        <v>50395.46</v>
      </c>
      <c r="G11" s="141"/>
      <c r="H11" s="2"/>
      <c r="I11" s="2"/>
      <c r="J11" s="2"/>
      <c r="K11" s="2"/>
    </row>
    <row r="12" spans="1:11" ht="15.6" x14ac:dyDescent="0.3">
      <c r="A12" s="1"/>
      <c r="B12" s="4"/>
      <c r="C12" s="2"/>
      <c r="D12" s="2"/>
      <c r="E12" s="2"/>
      <c r="F12" s="5"/>
      <c r="G12" s="5"/>
      <c r="H12" s="2"/>
      <c r="I12" s="2"/>
      <c r="J12" s="2"/>
      <c r="K12" s="2"/>
    </row>
    <row r="13" spans="1:11" ht="15.6" x14ac:dyDescent="0.3">
      <c r="A13" s="1"/>
      <c r="B13" s="3" t="s">
        <v>8</v>
      </c>
      <c r="C13" s="2"/>
      <c r="D13" s="2"/>
      <c r="E13" s="2"/>
      <c r="F13" s="142">
        <f>'[1]Annual 21-22'!J19</f>
        <v>72613.59</v>
      </c>
      <c r="G13" s="143"/>
      <c r="H13" s="144" t="s">
        <v>9</v>
      </c>
      <c r="I13" s="145"/>
      <c r="J13" s="2"/>
      <c r="K13" s="2"/>
    </row>
    <row r="14" spans="1:11" ht="15.6" x14ac:dyDescent="0.3">
      <c r="A14" s="1"/>
      <c r="B14" s="4"/>
      <c r="C14" s="2"/>
      <c r="D14" s="2"/>
      <c r="E14" s="2"/>
      <c r="F14" s="5"/>
      <c r="G14" s="5"/>
      <c r="H14" s="6"/>
      <c r="I14" s="6"/>
      <c r="J14" s="2"/>
      <c r="K14" s="2"/>
    </row>
    <row r="15" spans="1:11" ht="16.2" thickBot="1" x14ac:dyDescent="0.35">
      <c r="A15" s="1"/>
      <c r="B15" s="4"/>
      <c r="C15" s="2"/>
      <c r="D15" s="2"/>
      <c r="E15" s="2"/>
      <c r="F15" s="146">
        <f>F5+F13</f>
        <v>183764.61</v>
      </c>
      <c r="G15" s="147"/>
      <c r="H15" s="6"/>
      <c r="I15" s="6"/>
      <c r="J15" s="2"/>
      <c r="K15" s="2"/>
    </row>
    <row r="16" spans="1:11" ht="16.2" thickTop="1" x14ac:dyDescent="0.3">
      <c r="A16" s="1"/>
      <c r="B16" s="4"/>
      <c r="C16" s="2"/>
      <c r="D16" s="2"/>
      <c r="E16" s="2"/>
      <c r="F16" s="5"/>
      <c r="G16" s="5"/>
      <c r="H16" s="6"/>
      <c r="I16" s="6"/>
      <c r="J16" s="2"/>
      <c r="K16" s="2"/>
    </row>
    <row r="17" spans="1:11" ht="15.6" x14ac:dyDescent="0.3">
      <c r="A17" s="1"/>
      <c r="B17" s="7" t="s">
        <v>10</v>
      </c>
      <c r="C17" s="2"/>
      <c r="D17" s="2"/>
      <c r="E17" s="2"/>
      <c r="F17" s="148">
        <f>'[1]Annual 21-22'!AH17</f>
        <v>73714.209999999992</v>
      </c>
      <c r="G17" s="149"/>
      <c r="H17" s="144" t="s">
        <v>9</v>
      </c>
      <c r="I17" s="145"/>
      <c r="J17" s="2"/>
      <c r="K17" s="2"/>
    </row>
    <row r="18" spans="1:11" ht="15.6" x14ac:dyDescent="0.3">
      <c r="A18" s="1"/>
      <c r="B18" s="4"/>
      <c r="C18" s="2"/>
      <c r="D18" s="2"/>
      <c r="E18" s="2"/>
      <c r="F18" s="5"/>
      <c r="G18" s="5"/>
      <c r="H18" s="2"/>
      <c r="I18" s="2"/>
      <c r="J18" s="2"/>
      <c r="K18" s="2"/>
    </row>
    <row r="19" spans="1:11" ht="16.2" thickBot="1" x14ac:dyDescent="0.35">
      <c r="A19" s="1"/>
      <c r="B19" s="3" t="s">
        <v>11</v>
      </c>
      <c r="C19" s="2"/>
      <c r="D19" s="2"/>
      <c r="E19" s="2"/>
      <c r="F19" s="129">
        <f>F15-F17</f>
        <v>110050.4</v>
      </c>
      <c r="G19" s="130"/>
      <c r="H19" s="8" t="s">
        <v>12</v>
      </c>
      <c r="I19" s="131">
        <v>44547</v>
      </c>
      <c r="J19" s="107"/>
      <c r="K19" s="2"/>
    </row>
    <row r="20" spans="1:11" ht="16.2" thickTop="1" x14ac:dyDescent="0.3">
      <c r="A20" s="1"/>
      <c r="B20" s="3"/>
      <c r="C20" s="2"/>
      <c r="D20" s="2"/>
      <c r="E20" s="2"/>
      <c r="F20" s="9"/>
      <c r="G20" s="10"/>
      <c r="H20" s="2"/>
      <c r="I20" s="2"/>
      <c r="J20" s="2"/>
      <c r="K20" s="2"/>
    </row>
    <row r="21" spans="1:11" ht="15.6" x14ac:dyDescent="0.3">
      <c r="A21" s="1"/>
      <c r="B21" s="11" t="s">
        <v>13</v>
      </c>
      <c r="C21" s="2"/>
      <c r="D21" s="2"/>
      <c r="E21" s="2"/>
      <c r="F21" s="132"/>
      <c r="G21" s="133"/>
      <c r="H21" s="8" t="s">
        <v>14</v>
      </c>
      <c r="I21" s="2"/>
      <c r="J21" s="2"/>
      <c r="K21" s="2"/>
    </row>
    <row r="22" spans="1:11" ht="15.6" x14ac:dyDescent="0.3">
      <c r="A22" s="1"/>
      <c r="B22" s="11"/>
      <c r="C22" s="2"/>
      <c r="D22" s="2"/>
      <c r="E22" s="2"/>
      <c r="F22" s="12"/>
      <c r="G22" s="12"/>
      <c r="H22" s="8"/>
      <c r="I22" s="2"/>
      <c r="J22" s="2"/>
      <c r="K22" s="2"/>
    </row>
    <row r="23" spans="1:11" ht="15.6" x14ac:dyDescent="0.3">
      <c r="A23" s="1"/>
      <c r="B23" s="7" t="s">
        <v>15</v>
      </c>
      <c r="C23" s="2"/>
      <c r="D23" s="2"/>
      <c r="E23" s="2"/>
      <c r="F23" s="134">
        <f>F17+F21</f>
        <v>73714.209999999992</v>
      </c>
      <c r="G23" s="135"/>
      <c r="H23" s="8"/>
      <c r="I23" s="2"/>
      <c r="J23" s="2"/>
      <c r="K23" s="2"/>
    </row>
    <row r="24" spans="1:11" ht="15.6" x14ac:dyDescent="0.3">
      <c r="A24" s="1"/>
      <c r="B24" s="4"/>
      <c r="C24" s="2"/>
      <c r="D24" s="2"/>
      <c r="E24" s="2"/>
      <c r="F24" s="4"/>
      <c r="G24" s="4"/>
      <c r="H24" s="2"/>
      <c r="I24" s="2"/>
      <c r="J24" s="2"/>
      <c r="K24" s="2"/>
    </row>
    <row r="25" spans="1:11" ht="16.2" thickBot="1" x14ac:dyDescent="0.35">
      <c r="A25" s="1"/>
      <c r="B25" s="4" t="s">
        <v>16</v>
      </c>
      <c r="C25" s="2"/>
      <c r="D25" s="2"/>
      <c r="E25" s="2"/>
      <c r="F25" s="129">
        <f>F19-F21</f>
        <v>110050.4</v>
      </c>
      <c r="G25" s="130"/>
      <c r="H25" s="8" t="s">
        <v>17</v>
      </c>
      <c r="I25" s="8" t="s">
        <v>18</v>
      </c>
      <c r="J25" s="2"/>
      <c r="K25" s="2"/>
    </row>
    <row r="26" spans="1:11" ht="15" thickTop="1" x14ac:dyDescent="0.3">
      <c r="A26" s="1"/>
      <c r="B26" s="2"/>
      <c r="C26" s="2"/>
      <c r="D26" s="2"/>
      <c r="E26" s="2"/>
      <c r="G26" s="2"/>
      <c r="H26" s="2"/>
      <c r="I26" s="2"/>
      <c r="J26" s="2"/>
      <c r="K26" s="2"/>
    </row>
    <row r="27" spans="1:11" ht="15.6" x14ac:dyDescent="0.3">
      <c r="A27" s="1"/>
      <c r="B27" s="13" t="s">
        <v>19</v>
      </c>
      <c r="C27" s="14"/>
      <c r="D27" s="14"/>
      <c r="E27" s="14"/>
      <c r="F27" s="14"/>
      <c r="G27" s="15"/>
      <c r="H27" s="2"/>
      <c r="I27" s="2"/>
      <c r="J27" s="2"/>
      <c r="K27" s="2"/>
    </row>
    <row r="28" spans="1:11" ht="15.6" x14ac:dyDescent="0.3">
      <c r="A28" s="1"/>
      <c r="B28" s="16" t="s">
        <v>20</v>
      </c>
      <c r="C28" s="4"/>
      <c r="D28" s="4"/>
      <c r="E28" s="4"/>
      <c r="F28" s="17">
        <v>44547</v>
      </c>
      <c r="G28" s="18">
        <v>0</v>
      </c>
      <c r="H28" s="2"/>
      <c r="I28" s="2"/>
      <c r="J28" s="2"/>
      <c r="K28" s="2"/>
    </row>
    <row r="29" spans="1:11" ht="15.6" x14ac:dyDescent="0.3">
      <c r="A29" s="1"/>
      <c r="B29" s="16" t="s">
        <v>21</v>
      </c>
      <c r="C29" s="4"/>
      <c r="D29" s="4"/>
      <c r="E29" s="4"/>
      <c r="F29" s="17">
        <v>44547</v>
      </c>
      <c r="G29" s="19">
        <v>29501.46</v>
      </c>
      <c r="H29" s="2"/>
      <c r="I29" s="2"/>
      <c r="J29" s="20"/>
      <c r="K29" s="2"/>
    </row>
    <row r="30" spans="1:11" ht="15.6" x14ac:dyDescent="0.3">
      <c r="A30" s="1"/>
      <c r="B30" s="16" t="s">
        <v>22</v>
      </c>
      <c r="C30" s="4"/>
      <c r="D30" s="4"/>
      <c r="E30" s="4"/>
      <c r="F30" s="17">
        <v>44547</v>
      </c>
      <c r="G30" s="19">
        <v>17631.21</v>
      </c>
      <c r="H30" s="20" t="s">
        <v>23</v>
      </c>
      <c r="I30" s="2"/>
      <c r="J30" s="20"/>
      <c r="K30" s="2"/>
    </row>
    <row r="31" spans="1:11" ht="15.6" x14ac:dyDescent="0.3">
      <c r="A31" s="1"/>
      <c r="B31" s="16" t="s">
        <v>24</v>
      </c>
      <c r="C31" s="4"/>
      <c r="D31" s="4"/>
      <c r="E31" s="4"/>
      <c r="F31" s="17">
        <v>44547</v>
      </c>
      <c r="G31" s="19">
        <v>50000</v>
      </c>
      <c r="H31" s="2"/>
      <c r="I31" s="2"/>
      <c r="J31" s="20"/>
      <c r="K31" s="2"/>
    </row>
    <row r="32" spans="1:11" ht="15.6" x14ac:dyDescent="0.3">
      <c r="A32" s="1"/>
      <c r="B32" s="16" t="s">
        <v>25</v>
      </c>
      <c r="C32" s="4"/>
      <c r="D32" s="4"/>
      <c r="E32" s="4"/>
      <c r="F32" s="17">
        <v>44547</v>
      </c>
      <c r="G32" s="19">
        <v>19890.47</v>
      </c>
      <c r="H32" s="2"/>
      <c r="I32" s="2"/>
      <c r="J32" s="2"/>
      <c r="K32" s="2"/>
    </row>
    <row r="33" spans="1:11" ht="15.6" x14ac:dyDescent="0.3">
      <c r="A33" s="1"/>
      <c r="B33" s="16" t="s">
        <v>26</v>
      </c>
      <c r="C33" s="4"/>
      <c r="D33" s="4"/>
      <c r="E33" s="4"/>
      <c r="F33" s="17">
        <v>44547</v>
      </c>
      <c r="G33" s="21">
        <v>0</v>
      </c>
      <c r="H33" s="2"/>
      <c r="I33" s="2"/>
      <c r="J33" s="2"/>
      <c r="K33" s="2"/>
    </row>
    <row r="34" spans="1:11" ht="16.2" thickBot="1" x14ac:dyDescent="0.35">
      <c r="A34" s="1"/>
      <c r="B34" s="22" t="s">
        <v>27</v>
      </c>
      <c r="C34" s="4"/>
      <c r="D34" s="4"/>
      <c r="E34" s="4"/>
      <c r="F34" s="17">
        <v>44547</v>
      </c>
      <c r="G34" s="23">
        <f>G28+G32+G33+G29+G31+G30</f>
        <v>117023.13999999998</v>
      </c>
      <c r="H34" s="24" t="s">
        <v>28</v>
      </c>
      <c r="I34" s="2"/>
      <c r="J34" s="2"/>
      <c r="K34" s="2"/>
    </row>
    <row r="35" spans="1:11" ht="16.2" thickTop="1" x14ac:dyDescent="0.3">
      <c r="A35" s="1"/>
      <c r="B35" s="25" t="s">
        <v>29</v>
      </c>
      <c r="C35" s="4"/>
      <c r="D35" s="4"/>
      <c r="E35" s="4"/>
      <c r="F35" s="4"/>
      <c r="G35" s="26">
        <v>7.23</v>
      </c>
      <c r="H35" s="2"/>
      <c r="I35" s="2"/>
      <c r="J35" s="2"/>
      <c r="K35" s="2"/>
    </row>
    <row r="36" spans="1:11" ht="15.6" x14ac:dyDescent="0.3">
      <c r="A36" s="1"/>
      <c r="B36" s="27" t="s">
        <v>30</v>
      </c>
      <c r="C36" s="28"/>
      <c r="D36" s="28"/>
      <c r="E36" s="28"/>
      <c r="F36" s="28"/>
      <c r="G36" s="29"/>
      <c r="H36" s="2"/>
      <c r="I36" s="2"/>
      <c r="J36" s="2"/>
      <c r="K36" s="2"/>
    </row>
    <row r="37" spans="1:11" ht="16.2" thickBot="1" x14ac:dyDescent="0.35">
      <c r="A37" s="1"/>
      <c r="B37" s="136" t="s">
        <v>31</v>
      </c>
      <c r="C37" s="137"/>
      <c r="D37" s="137"/>
      <c r="E37" s="137"/>
      <c r="F37" s="138">
        <f>G34+G35+G36</f>
        <v>117030.36999999998</v>
      </c>
      <c r="G37" s="139"/>
      <c r="H37" s="2"/>
      <c r="I37" s="2"/>
      <c r="J37" s="2"/>
      <c r="K37" s="2"/>
    </row>
    <row r="38" spans="1:11" ht="16.2" thickTop="1" x14ac:dyDescent="0.3">
      <c r="A38" s="1"/>
      <c r="B38" s="11" t="s">
        <v>32</v>
      </c>
      <c r="C38" s="2"/>
      <c r="D38" s="2"/>
      <c r="E38" s="2"/>
      <c r="F38" s="30"/>
      <c r="G38" s="31">
        <f>-50-62.99</f>
        <v>-112.99000000000001</v>
      </c>
      <c r="H38" s="2"/>
      <c r="I38" s="2"/>
      <c r="J38" s="2"/>
      <c r="K38" s="2"/>
    </row>
    <row r="39" spans="1:11" ht="15.6" x14ac:dyDescent="0.3">
      <c r="A39" s="1"/>
      <c r="B39" s="11" t="s">
        <v>33</v>
      </c>
      <c r="C39" s="2"/>
      <c r="D39" s="2"/>
      <c r="E39" s="2"/>
      <c r="F39" s="32">
        <v>44531</v>
      </c>
      <c r="G39" s="31"/>
      <c r="H39" s="8" t="s">
        <v>14</v>
      </c>
      <c r="I39" s="2"/>
      <c r="J39" s="2"/>
      <c r="K39" s="2"/>
    </row>
    <row r="40" spans="1:11" ht="16.2" thickBot="1" x14ac:dyDescent="0.35">
      <c r="A40" s="1"/>
      <c r="B40" s="33"/>
      <c r="C40" s="2"/>
      <c r="D40" s="2"/>
      <c r="E40" s="2"/>
      <c r="F40" s="126">
        <f>F37+G38+G39</f>
        <v>116917.37999999998</v>
      </c>
      <c r="G40" s="126"/>
      <c r="H40" s="8" t="s">
        <v>17</v>
      </c>
      <c r="I40" s="2"/>
      <c r="J40" s="2"/>
      <c r="K40" s="2"/>
    </row>
    <row r="41" spans="1:11" ht="15.6" thickTop="1" thickBot="1" x14ac:dyDescent="0.35">
      <c r="A41" s="1"/>
      <c r="B41" s="34"/>
      <c r="C41" s="34"/>
      <c r="D41" s="34"/>
      <c r="E41" s="34"/>
      <c r="F41" s="34"/>
      <c r="G41" s="34"/>
      <c r="H41" s="34"/>
      <c r="I41" s="34"/>
      <c r="J41" s="2"/>
      <c r="K41" s="35">
        <f>F25-F40</f>
        <v>-6866.9799999999814</v>
      </c>
    </row>
    <row r="42" spans="1:11" ht="16.2" thickTop="1" x14ac:dyDescent="0.3">
      <c r="A42" s="1"/>
      <c r="B42" s="127" t="s">
        <v>34</v>
      </c>
      <c r="C42" s="127"/>
      <c r="D42" s="127"/>
      <c r="E42" s="127"/>
      <c r="F42" s="127"/>
      <c r="G42" s="2"/>
      <c r="H42" s="2"/>
      <c r="I42" s="2"/>
      <c r="J42" s="2"/>
      <c r="K42" s="2"/>
    </row>
    <row r="43" spans="1:11" x14ac:dyDescent="0.3">
      <c r="A43" s="1" t="s">
        <v>35</v>
      </c>
      <c r="B43" s="128"/>
      <c r="C43" s="128"/>
      <c r="D43" s="128"/>
      <c r="E43" s="128"/>
      <c r="F43" s="128"/>
      <c r="G43" s="128"/>
      <c r="H43" s="113" t="s">
        <v>36</v>
      </c>
      <c r="I43" s="113"/>
      <c r="J43" s="2"/>
      <c r="K43" s="2"/>
    </row>
    <row r="44" spans="1:11" ht="15.6" x14ac:dyDescent="0.3">
      <c r="A44" s="36">
        <v>44287</v>
      </c>
      <c r="B44" s="107" t="s">
        <v>37</v>
      </c>
      <c r="C44" s="107"/>
      <c r="D44" s="107"/>
      <c r="E44" s="107"/>
      <c r="F44" s="114">
        <f>5000</f>
        <v>5000</v>
      </c>
      <c r="G44" s="114"/>
      <c r="H44" s="120" t="s">
        <v>38</v>
      </c>
      <c r="I44" s="112"/>
      <c r="J44" s="2"/>
      <c r="K44" s="2"/>
    </row>
    <row r="45" spans="1:11" ht="15.6" x14ac:dyDescent="0.3">
      <c r="A45" s="37"/>
      <c r="B45" s="107" t="s">
        <v>39</v>
      </c>
      <c r="C45" s="107"/>
      <c r="D45" s="107"/>
      <c r="E45" s="107"/>
      <c r="F45" s="114">
        <f>12500+2000-8494-340</f>
        <v>5666</v>
      </c>
      <c r="G45" s="114"/>
      <c r="H45" s="120" t="s">
        <v>38</v>
      </c>
      <c r="I45" s="112"/>
      <c r="J45" s="2"/>
      <c r="K45" s="2"/>
    </row>
    <row r="46" spans="1:11" ht="15.6" x14ac:dyDescent="0.3">
      <c r="A46" s="37"/>
      <c r="B46" s="107" t="s">
        <v>40</v>
      </c>
      <c r="C46" s="107"/>
      <c r="D46" s="107"/>
      <c r="E46" s="107"/>
      <c r="F46" s="114">
        <f>7741-5975-12-67.5-4</f>
        <v>1682.5</v>
      </c>
      <c r="G46" s="114"/>
      <c r="H46" s="120" t="s">
        <v>38</v>
      </c>
      <c r="I46" s="112"/>
      <c r="J46" s="2"/>
      <c r="K46" s="2"/>
    </row>
    <row r="47" spans="1:11" ht="15.6" x14ac:dyDescent="0.3">
      <c r="A47" s="37"/>
      <c r="B47" s="107" t="s">
        <v>41</v>
      </c>
      <c r="C47" s="107"/>
      <c r="D47" s="107"/>
      <c r="E47" s="107"/>
      <c r="F47" s="114">
        <f>4223.9+411.45+2000+2000</f>
        <v>8635.3499999999985</v>
      </c>
      <c r="G47" s="114"/>
      <c r="H47" s="120" t="s">
        <v>38</v>
      </c>
      <c r="I47" s="112"/>
      <c r="J47" s="2"/>
      <c r="K47" s="2"/>
    </row>
    <row r="48" spans="1:11" ht="15.6" x14ac:dyDescent="0.3">
      <c r="A48" s="37"/>
      <c r="B48" s="117" t="s">
        <v>42</v>
      </c>
      <c r="C48" s="117"/>
      <c r="D48" s="117"/>
      <c r="E48" s="117"/>
      <c r="F48" s="122">
        <v>0</v>
      </c>
      <c r="G48" s="122"/>
      <c r="H48" s="123"/>
      <c r="I48" s="124"/>
      <c r="J48" s="2"/>
    </row>
    <row r="49" spans="1:11" ht="15.6" x14ac:dyDescent="0.3">
      <c r="A49" s="37"/>
      <c r="B49" s="117" t="s">
        <v>43</v>
      </c>
      <c r="C49" s="117"/>
      <c r="D49" s="117"/>
      <c r="E49" s="117"/>
      <c r="F49" s="125">
        <f>1053+295+795-2301.6-704+2620+585-99.99-240.01-397.6+695.25+3950+20+100-695.14</f>
        <v>5674.91</v>
      </c>
      <c r="G49" s="125"/>
      <c r="H49" s="120" t="s">
        <v>38</v>
      </c>
      <c r="I49" s="112"/>
      <c r="J49" s="2"/>
      <c r="K49" s="2"/>
    </row>
    <row r="50" spans="1:11" ht="15.6" x14ac:dyDescent="0.3">
      <c r="A50" s="37"/>
      <c r="B50" s="117" t="s">
        <v>44</v>
      </c>
      <c r="C50" s="117"/>
      <c r="D50" s="117"/>
      <c r="E50" s="117"/>
      <c r="F50" s="125">
        <v>5000</v>
      </c>
      <c r="G50" s="125"/>
      <c r="H50" s="120" t="s">
        <v>38</v>
      </c>
      <c r="I50" s="112"/>
      <c r="J50" s="2"/>
      <c r="K50" s="2"/>
    </row>
    <row r="51" spans="1:11" ht="15.6" x14ac:dyDescent="0.3">
      <c r="A51" s="37"/>
      <c r="B51" s="117" t="s">
        <v>45</v>
      </c>
      <c r="C51" s="117"/>
      <c r="D51" s="117"/>
      <c r="E51" s="117"/>
      <c r="F51" s="125">
        <f>1500+400+400+400</f>
        <v>2700</v>
      </c>
      <c r="G51" s="125"/>
      <c r="H51" s="120" t="s">
        <v>38</v>
      </c>
      <c r="I51" s="112"/>
      <c r="J51" s="2"/>
      <c r="K51" s="2"/>
    </row>
    <row r="52" spans="1:11" ht="15.6" x14ac:dyDescent="0.3">
      <c r="A52" s="37"/>
      <c r="B52" s="117" t="s">
        <v>46</v>
      </c>
      <c r="C52" s="117"/>
      <c r="D52" s="117"/>
      <c r="E52" s="117"/>
      <c r="F52" s="125">
        <f>15000+5000+2000-487.4-1300-487.4-500+5500+1410</f>
        <v>26135.199999999997</v>
      </c>
      <c r="G52" s="125"/>
      <c r="H52" s="120" t="s">
        <v>38</v>
      </c>
      <c r="I52" s="112"/>
      <c r="J52" s="2"/>
      <c r="K52" s="2"/>
    </row>
    <row r="53" spans="1:11" ht="15.6" x14ac:dyDescent="0.3">
      <c r="A53" s="37"/>
      <c r="B53" s="117" t="s">
        <v>47</v>
      </c>
      <c r="C53" s="117"/>
      <c r="D53" s="117"/>
      <c r="E53" s="117"/>
      <c r="F53" s="122">
        <f>1000+3476.57+300-6490.36+1500+50+163.79</f>
        <v>0</v>
      </c>
      <c r="G53" s="122"/>
      <c r="H53" s="123"/>
      <c r="I53" s="124"/>
      <c r="J53" s="2"/>
      <c r="K53" s="2"/>
    </row>
    <row r="54" spans="1:11" ht="15.6" x14ac:dyDescent="0.3">
      <c r="A54" s="37"/>
      <c r="B54" s="107" t="s">
        <v>48</v>
      </c>
      <c r="C54" s="107"/>
      <c r="D54" s="107"/>
      <c r="E54" s="107"/>
      <c r="F54" s="114">
        <f>79.17+459.43-391+336-385.19-98.41+840.3+500-260.87-816.66+333</f>
        <v>595.76999999999987</v>
      </c>
      <c r="G54" s="114"/>
      <c r="H54" s="121" t="s">
        <v>38</v>
      </c>
      <c r="I54" s="112"/>
      <c r="J54" s="2"/>
      <c r="K54" s="2"/>
    </row>
    <row r="55" spans="1:11" ht="15.6" x14ac:dyDescent="0.3">
      <c r="A55" s="37"/>
      <c r="B55" s="107" t="s">
        <v>49</v>
      </c>
      <c r="C55" s="107"/>
      <c r="D55" s="107"/>
      <c r="E55" s="107"/>
      <c r="F55" s="114">
        <v>50</v>
      </c>
      <c r="G55" s="114"/>
      <c r="H55" s="121" t="s">
        <v>38</v>
      </c>
      <c r="I55" s="112"/>
      <c r="J55" s="2"/>
      <c r="K55" s="2"/>
    </row>
    <row r="56" spans="1:11" ht="15.6" x14ac:dyDescent="0.3">
      <c r="A56" s="37"/>
      <c r="B56" s="107" t="s">
        <v>50</v>
      </c>
      <c r="C56" s="107"/>
      <c r="D56" s="107"/>
      <c r="E56" s="107"/>
      <c r="F56" s="114">
        <f>3000+1000-513-149</f>
        <v>3338</v>
      </c>
      <c r="G56" s="114"/>
      <c r="H56" s="121" t="s">
        <v>38</v>
      </c>
      <c r="I56" s="112"/>
      <c r="J56" s="2"/>
      <c r="K56" s="2"/>
    </row>
    <row r="57" spans="1:11" ht="15.6" x14ac:dyDescent="0.3">
      <c r="A57" s="37"/>
      <c r="B57" s="107" t="s">
        <v>51</v>
      </c>
      <c r="C57" s="107"/>
      <c r="D57" s="107"/>
      <c r="E57" s="107"/>
      <c r="F57" s="114">
        <v>3000</v>
      </c>
      <c r="G57" s="114"/>
      <c r="H57" s="121" t="s">
        <v>38</v>
      </c>
      <c r="I57" s="112"/>
      <c r="J57" s="2"/>
      <c r="K57" s="2"/>
    </row>
    <row r="58" spans="1:11" ht="15.6" x14ac:dyDescent="0.3">
      <c r="A58" s="37"/>
      <c r="B58" s="107" t="s">
        <v>52</v>
      </c>
      <c r="C58" s="107"/>
      <c r="D58" s="107"/>
      <c r="E58" s="107"/>
      <c r="F58" s="114">
        <f>500-250+250-400</f>
        <v>100</v>
      </c>
      <c r="G58" s="114"/>
      <c r="H58" s="121" t="s">
        <v>38</v>
      </c>
      <c r="I58" s="112"/>
      <c r="J58" s="2"/>
      <c r="K58" s="2"/>
    </row>
    <row r="59" spans="1:11" ht="15.6" x14ac:dyDescent="0.3">
      <c r="A59" s="37"/>
      <c r="B59" s="107" t="s">
        <v>53</v>
      </c>
      <c r="C59" s="107"/>
      <c r="D59" s="107"/>
      <c r="E59" s="107"/>
      <c r="F59" s="114">
        <f>200+200+200-94+94</f>
        <v>600</v>
      </c>
      <c r="G59" s="114"/>
      <c r="H59" s="121" t="s">
        <v>38</v>
      </c>
      <c r="I59" s="112"/>
      <c r="J59" s="2"/>
      <c r="K59" s="2"/>
    </row>
    <row r="60" spans="1:11" ht="15.6" x14ac:dyDescent="0.3">
      <c r="A60" s="37"/>
      <c r="B60" s="107" t="s">
        <v>54</v>
      </c>
      <c r="C60" s="107"/>
      <c r="D60" s="107"/>
      <c r="E60" s="107"/>
      <c r="F60" s="114">
        <f>200+200+200</f>
        <v>600</v>
      </c>
      <c r="G60" s="114"/>
      <c r="H60" s="121" t="s">
        <v>38</v>
      </c>
      <c r="I60" s="112"/>
      <c r="J60" s="2"/>
      <c r="K60" s="2"/>
    </row>
    <row r="61" spans="1:11" ht="15.6" x14ac:dyDescent="0.3">
      <c r="A61" s="37"/>
      <c r="B61" s="107" t="s">
        <v>55</v>
      </c>
      <c r="C61" s="107"/>
      <c r="D61" s="107"/>
      <c r="E61" s="107"/>
      <c r="F61" s="114">
        <f>2000-200+1000-538.83</f>
        <v>2261.17</v>
      </c>
      <c r="G61" s="114"/>
      <c r="H61" s="121" t="s">
        <v>38</v>
      </c>
      <c r="I61" s="112"/>
      <c r="J61" s="2"/>
      <c r="K61" s="2"/>
    </row>
    <row r="62" spans="1:11" ht="15.6" x14ac:dyDescent="0.3">
      <c r="A62" s="37"/>
      <c r="B62" s="107" t="s">
        <v>56</v>
      </c>
      <c r="C62" s="107"/>
      <c r="D62" s="107"/>
      <c r="E62" s="107"/>
      <c r="F62" s="114">
        <f>495+500-226.06-299.85-244.15+58.57+199.95-331.3-25.97-126.19</f>
        <v>0</v>
      </c>
      <c r="G62" s="114"/>
      <c r="H62" s="38"/>
      <c r="I62" s="39"/>
      <c r="J62" s="2"/>
      <c r="K62" s="2"/>
    </row>
    <row r="63" spans="1:11" ht="15.6" x14ac:dyDescent="0.3">
      <c r="A63" s="37"/>
      <c r="B63" s="107" t="s">
        <v>57</v>
      </c>
      <c r="C63" s="107"/>
      <c r="D63" s="107"/>
      <c r="E63" s="107"/>
      <c r="F63" s="114" t="s">
        <v>58</v>
      </c>
      <c r="G63" s="114"/>
      <c r="H63" s="38"/>
      <c r="I63" s="39"/>
      <c r="J63" s="2"/>
      <c r="K63" s="2"/>
    </row>
    <row r="64" spans="1:11" ht="15.6" x14ac:dyDescent="0.3">
      <c r="A64" s="37"/>
      <c r="B64" s="107"/>
      <c r="C64" s="107"/>
      <c r="D64" s="107"/>
      <c r="E64" s="107"/>
      <c r="F64" s="114"/>
      <c r="G64" s="114"/>
      <c r="H64" s="116"/>
      <c r="I64" s="112"/>
      <c r="J64" s="2"/>
      <c r="K64" s="2"/>
    </row>
    <row r="65" spans="1:11" ht="15.6" x14ac:dyDescent="0.3">
      <c r="A65" s="37"/>
      <c r="B65" s="117" t="s">
        <v>59</v>
      </c>
      <c r="C65" s="117"/>
      <c r="D65" s="117"/>
      <c r="E65" s="117"/>
      <c r="F65" s="118">
        <f>625.5+432.85+303.75+589.49+1215+1496.7+4519.23+7112.94</f>
        <v>16295.46</v>
      </c>
      <c r="G65" s="119"/>
      <c r="H65" s="120" t="s">
        <v>60</v>
      </c>
      <c r="I65" s="112"/>
      <c r="J65" s="20"/>
      <c r="K65" s="2"/>
    </row>
    <row r="66" spans="1:11" x14ac:dyDescent="0.3">
      <c r="A66" s="37"/>
      <c r="B66" s="2"/>
      <c r="C66" s="2"/>
      <c r="D66" s="2"/>
      <c r="E66" s="2"/>
      <c r="F66" s="40"/>
      <c r="G66" s="40"/>
      <c r="H66" s="2"/>
      <c r="I66" s="2"/>
      <c r="J66" s="2"/>
      <c r="K66" s="2"/>
    </row>
    <row r="67" spans="1:11" ht="15.6" x14ac:dyDescent="0.3">
      <c r="A67" s="37"/>
      <c r="B67" s="107" t="s">
        <v>61</v>
      </c>
      <c r="C67" s="107"/>
      <c r="D67" s="107"/>
      <c r="E67" s="107"/>
      <c r="F67" s="108">
        <f>F44+F45+F46+F49+F51+F52+F53+F65+F48+F54+F56+F57+F58+F47+F59+F60+F61+F62</f>
        <v>82284.36</v>
      </c>
      <c r="G67" s="108"/>
      <c r="H67" s="8" t="s">
        <v>62</v>
      </c>
      <c r="I67" s="2"/>
      <c r="J67" s="2"/>
      <c r="K67" s="2"/>
    </row>
    <row r="68" spans="1:11" x14ac:dyDescent="0.3">
      <c r="A68" s="37"/>
      <c r="B68" s="2"/>
      <c r="C68" s="2"/>
      <c r="D68" s="2"/>
      <c r="E68" s="2"/>
      <c r="F68" s="115"/>
      <c r="G68" s="115"/>
      <c r="H68" s="2"/>
      <c r="I68" s="2"/>
      <c r="J68" s="2"/>
      <c r="K68" s="2"/>
    </row>
    <row r="69" spans="1:11" ht="15.6" x14ac:dyDescent="0.3">
      <c r="A69" s="37"/>
      <c r="B69" s="107" t="s">
        <v>63</v>
      </c>
      <c r="C69" s="107"/>
      <c r="D69" s="107"/>
      <c r="E69" s="107"/>
      <c r="F69" s="115"/>
      <c r="G69" s="115"/>
      <c r="H69" s="2"/>
      <c r="I69" s="2"/>
      <c r="J69" s="2"/>
      <c r="K69" s="2"/>
    </row>
    <row r="70" spans="1:11" ht="15.6" x14ac:dyDescent="0.3">
      <c r="A70" s="37"/>
      <c r="B70" s="8"/>
      <c r="C70" s="8"/>
      <c r="D70" s="8"/>
      <c r="E70" s="8"/>
      <c r="F70" s="41"/>
      <c r="G70" s="41"/>
      <c r="H70" s="2"/>
      <c r="I70" s="2"/>
      <c r="J70" s="2"/>
      <c r="K70" s="2"/>
    </row>
    <row r="71" spans="1:11" ht="15.6" x14ac:dyDescent="0.3">
      <c r="A71" s="37"/>
      <c r="B71" s="107" t="s">
        <v>64</v>
      </c>
      <c r="C71" s="107"/>
      <c r="D71" s="107"/>
      <c r="E71" s="107"/>
      <c r="F71" s="114">
        <f>21250-5100+3400-4699-6735+11434-400+4600-5000</f>
        <v>18750</v>
      </c>
      <c r="G71" s="114"/>
      <c r="H71" s="113" t="s">
        <v>65</v>
      </c>
      <c r="I71" s="113"/>
      <c r="J71" s="113"/>
      <c r="K71" s="113"/>
    </row>
    <row r="72" spans="1:11" ht="15.6" x14ac:dyDescent="0.3">
      <c r="A72" s="37"/>
      <c r="B72" s="107" t="s">
        <v>66</v>
      </c>
      <c r="C72" s="107"/>
      <c r="D72" s="107"/>
      <c r="E72" s="107"/>
      <c r="F72" s="114">
        <f>450-100-25-22.16+550-100+247.16+450-187.22-254.88-181.88+1000-836.58</f>
        <v>989.43999999999994</v>
      </c>
      <c r="G72" s="114"/>
      <c r="H72" s="112"/>
      <c r="I72" s="112"/>
      <c r="J72" s="2"/>
      <c r="K72" s="2"/>
    </row>
    <row r="73" spans="1:11" x14ac:dyDescent="0.3">
      <c r="A73" s="1"/>
      <c r="B73" s="39"/>
      <c r="C73" s="39"/>
      <c r="D73" s="39"/>
      <c r="E73" s="39"/>
      <c r="F73" s="42"/>
      <c r="G73" s="42"/>
      <c r="H73" s="2"/>
      <c r="I73" s="2"/>
      <c r="J73" s="2"/>
      <c r="K73" s="2"/>
    </row>
    <row r="74" spans="1:11" ht="15.6" x14ac:dyDescent="0.3">
      <c r="A74" s="1"/>
      <c r="B74" s="107" t="s">
        <v>67</v>
      </c>
      <c r="C74" s="107"/>
      <c r="D74" s="107"/>
      <c r="E74" s="107"/>
      <c r="F74" s="108">
        <f>SUM(F71:F73)</f>
        <v>19739.439999999999</v>
      </c>
      <c r="G74" s="108"/>
      <c r="H74" s="8" t="s">
        <v>68</v>
      </c>
      <c r="I74" s="2"/>
      <c r="J74" s="2"/>
      <c r="K74" s="2"/>
    </row>
    <row r="75" spans="1:11" x14ac:dyDescent="0.3">
      <c r="A75" s="1"/>
      <c r="B75" s="2"/>
      <c r="C75" s="2"/>
      <c r="D75" s="2"/>
      <c r="E75" s="2"/>
      <c r="F75" s="39"/>
      <c r="G75" s="39"/>
      <c r="H75" s="2"/>
      <c r="I75" s="2"/>
      <c r="J75" s="2"/>
      <c r="K75" s="2"/>
    </row>
    <row r="76" spans="1:11" ht="15.6" x14ac:dyDescent="0.3">
      <c r="A76" s="1"/>
      <c r="B76" s="107" t="s">
        <v>69</v>
      </c>
      <c r="C76" s="107"/>
      <c r="D76" s="107"/>
      <c r="E76" s="107"/>
      <c r="F76" s="108">
        <f>F67+F74</f>
        <v>102023.8</v>
      </c>
      <c r="G76" s="109"/>
      <c r="H76" s="8" t="s">
        <v>70</v>
      </c>
      <c r="I76" s="8" t="s">
        <v>71</v>
      </c>
      <c r="J76" s="2"/>
      <c r="K76" s="2"/>
    </row>
    <row r="77" spans="1:11" x14ac:dyDescent="0.3">
      <c r="A77" s="1"/>
      <c r="B77" s="2"/>
      <c r="C77" s="2"/>
      <c r="D77" s="2"/>
      <c r="E77" s="2"/>
      <c r="F77" s="39"/>
      <c r="G77" s="39"/>
      <c r="H77" s="2"/>
      <c r="I77" s="2"/>
      <c r="J77" s="2"/>
      <c r="K77" s="2"/>
    </row>
    <row r="78" spans="1:11" ht="15.6" x14ac:dyDescent="0.3">
      <c r="A78" s="1"/>
      <c r="B78" s="107" t="s">
        <v>72</v>
      </c>
      <c r="C78" s="107"/>
      <c r="D78" s="107"/>
      <c r="E78" s="107"/>
      <c r="F78" s="110">
        <f>F25-F76</f>
        <v>8026.5999999999913</v>
      </c>
      <c r="G78" s="111"/>
      <c r="H78" s="8" t="s">
        <v>73</v>
      </c>
      <c r="I78" s="8" t="s">
        <v>74</v>
      </c>
      <c r="J78" s="2"/>
      <c r="K78" s="2"/>
    </row>
    <row r="79" spans="1:1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3">
      <c r="A80" s="1"/>
      <c r="B80" s="112" t="s">
        <v>75</v>
      </c>
      <c r="C80" s="112"/>
      <c r="D80" s="112"/>
      <c r="E80" s="43">
        <v>44550</v>
      </c>
      <c r="F80" s="44"/>
      <c r="G80" s="44"/>
      <c r="H80" s="44"/>
      <c r="I80" s="44"/>
      <c r="J80" s="2"/>
      <c r="K80" s="2"/>
    </row>
    <row r="81" spans="1:11" x14ac:dyDescent="0.3">
      <c r="A81" s="1"/>
      <c r="B81" s="2"/>
      <c r="C81" s="2"/>
      <c r="D81" s="2"/>
      <c r="E81" s="39"/>
      <c r="F81" s="2"/>
      <c r="G81" s="2"/>
      <c r="H81" s="2"/>
      <c r="I81" s="2"/>
      <c r="J81" s="2"/>
      <c r="K81" s="2"/>
    </row>
    <row r="82" spans="1:11" x14ac:dyDescent="0.3">
      <c r="A82" s="1"/>
      <c r="B82" s="112" t="s">
        <v>76</v>
      </c>
      <c r="C82" s="112"/>
      <c r="D82" s="112"/>
      <c r="E82" s="43">
        <v>44550</v>
      </c>
      <c r="F82" s="45"/>
      <c r="G82" s="44"/>
      <c r="H82" s="44"/>
      <c r="I82" s="44"/>
      <c r="J82" s="2"/>
      <c r="K82" s="2"/>
    </row>
    <row r="83" spans="1:1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mergeCells count="107">
    <mergeCell ref="F10:G10"/>
    <mergeCell ref="F11:G11"/>
    <mergeCell ref="F13:G13"/>
    <mergeCell ref="H13:I13"/>
    <mergeCell ref="F15:G15"/>
    <mergeCell ref="F17:G17"/>
    <mergeCell ref="H17:I17"/>
    <mergeCell ref="B1:G4"/>
    <mergeCell ref="F5:G5"/>
    <mergeCell ref="F6:G6"/>
    <mergeCell ref="F7:G7"/>
    <mergeCell ref="F8:G8"/>
    <mergeCell ref="F9:G9"/>
    <mergeCell ref="F40:G40"/>
    <mergeCell ref="B42:F42"/>
    <mergeCell ref="B43:G43"/>
    <mergeCell ref="H43:I43"/>
    <mergeCell ref="B44:E44"/>
    <mergeCell ref="F44:G44"/>
    <mergeCell ref="H44:I44"/>
    <mergeCell ref="F19:G19"/>
    <mergeCell ref="I19:J19"/>
    <mergeCell ref="F21:G21"/>
    <mergeCell ref="F23:G23"/>
    <mergeCell ref="F25:G25"/>
    <mergeCell ref="B37:E37"/>
    <mergeCell ref="F37:G37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55:E55"/>
    <mergeCell ref="F55:G55"/>
    <mergeCell ref="H55:I55"/>
    <mergeCell ref="B56:E56"/>
    <mergeCell ref="F56:G56"/>
    <mergeCell ref="H56:I56"/>
    <mergeCell ref="B53:E53"/>
    <mergeCell ref="F53:G53"/>
    <mergeCell ref="H53:I53"/>
    <mergeCell ref="B54:E54"/>
    <mergeCell ref="F54:G54"/>
    <mergeCell ref="H54:I54"/>
    <mergeCell ref="B59:E59"/>
    <mergeCell ref="F59:G59"/>
    <mergeCell ref="H59:I59"/>
    <mergeCell ref="B60:E60"/>
    <mergeCell ref="F60:G60"/>
    <mergeCell ref="H60:I60"/>
    <mergeCell ref="B57:E57"/>
    <mergeCell ref="F57:G57"/>
    <mergeCell ref="H57:I57"/>
    <mergeCell ref="B58:E58"/>
    <mergeCell ref="F58:G58"/>
    <mergeCell ref="H58:I58"/>
    <mergeCell ref="H64:I64"/>
    <mergeCell ref="B65:E65"/>
    <mergeCell ref="F65:G65"/>
    <mergeCell ref="H65:I65"/>
    <mergeCell ref="B61:E61"/>
    <mergeCell ref="F61:G61"/>
    <mergeCell ref="H61:I61"/>
    <mergeCell ref="B62:E62"/>
    <mergeCell ref="F62:G62"/>
    <mergeCell ref="B63:E63"/>
    <mergeCell ref="F63:G63"/>
    <mergeCell ref="B67:E67"/>
    <mergeCell ref="F67:G67"/>
    <mergeCell ref="F68:G68"/>
    <mergeCell ref="B69:E69"/>
    <mergeCell ref="F69:G69"/>
    <mergeCell ref="B71:E71"/>
    <mergeCell ref="F71:G71"/>
    <mergeCell ref="B64:E64"/>
    <mergeCell ref="F64:G64"/>
    <mergeCell ref="B76:E76"/>
    <mergeCell ref="F76:G76"/>
    <mergeCell ref="B78:E78"/>
    <mergeCell ref="F78:G78"/>
    <mergeCell ref="B80:D80"/>
    <mergeCell ref="B82:D82"/>
    <mergeCell ref="H71:K71"/>
    <mergeCell ref="B72:E72"/>
    <mergeCell ref="F72:G72"/>
    <mergeCell ref="H72:I72"/>
    <mergeCell ref="B74:E74"/>
    <mergeCell ref="F74:G7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1E443-1366-4038-ADAF-FC5984C2050E}">
  <dimension ref="A1:G17"/>
  <sheetViews>
    <sheetView workbookViewId="0">
      <selection activeCell="N27" sqref="N27"/>
    </sheetView>
  </sheetViews>
  <sheetFormatPr defaultRowHeight="14.4" x14ac:dyDescent="0.3"/>
  <cols>
    <col min="1" max="1" width="10.109375" bestFit="1" customWidth="1"/>
    <col min="2" max="2" width="9.109375" bestFit="1" customWidth="1"/>
    <col min="4" max="4" width="7.5546875" bestFit="1" customWidth="1"/>
    <col min="7" max="7" width="10.109375" bestFit="1" customWidth="1"/>
  </cols>
  <sheetData>
    <row r="1" spans="1:7" ht="15" thickBot="1" x14ac:dyDescent="0.35"/>
    <row r="2" spans="1:7" ht="29.4" thickTop="1" x14ac:dyDescent="0.3">
      <c r="A2" s="63" t="s">
        <v>90</v>
      </c>
      <c r="B2" s="64" t="s">
        <v>91</v>
      </c>
      <c r="C2" s="64" t="s">
        <v>92</v>
      </c>
      <c r="D2" s="64" t="s">
        <v>82</v>
      </c>
      <c r="E2" s="64" t="s">
        <v>83</v>
      </c>
      <c r="F2" s="64" t="s">
        <v>93</v>
      </c>
      <c r="G2" s="65" t="s">
        <v>94</v>
      </c>
    </row>
    <row r="3" spans="1:7" x14ac:dyDescent="0.3">
      <c r="A3" s="71">
        <v>1142.97</v>
      </c>
      <c r="B3" s="72">
        <v>725.44</v>
      </c>
      <c r="C3" s="72">
        <v>414.17</v>
      </c>
      <c r="D3" s="73">
        <v>0</v>
      </c>
      <c r="E3" s="72">
        <v>81.52</v>
      </c>
      <c r="F3" s="72">
        <v>22.5</v>
      </c>
      <c r="G3" s="74">
        <v>1875</v>
      </c>
    </row>
    <row r="4" spans="1:7" x14ac:dyDescent="0.3">
      <c r="A4" s="71">
        <v>1142.97</v>
      </c>
      <c r="B4" s="72">
        <v>800.98</v>
      </c>
      <c r="C4" s="73">
        <v>0</v>
      </c>
      <c r="D4" s="72">
        <v>20.399999999999999</v>
      </c>
      <c r="E4" s="72">
        <v>79.400000000000006</v>
      </c>
      <c r="F4" s="72">
        <v>64.489999999999995</v>
      </c>
      <c r="G4" s="74">
        <v>1421.4</v>
      </c>
    </row>
    <row r="5" spans="1:7" x14ac:dyDescent="0.3">
      <c r="A5" s="71">
        <v>1158.1200000000001</v>
      </c>
      <c r="B5" s="72">
        <v>986.85</v>
      </c>
      <c r="C5" s="73">
        <v>0</v>
      </c>
      <c r="D5" s="72">
        <v>45.95</v>
      </c>
      <c r="E5" s="72">
        <v>133.94999999999999</v>
      </c>
      <c r="F5" s="72">
        <v>19.03</v>
      </c>
      <c r="G5" s="74">
        <v>1785.2</v>
      </c>
    </row>
    <row r="6" spans="1:7" x14ac:dyDescent="0.3">
      <c r="A6" s="71">
        <v>1208.97</v>
      </c>
      <c r="B6" s="72">
        <v>267.20999999999998</v>
      </c>
      <c r="C6" s="73">
        <v>0</v>
      </c>
      <c r="D6" s="73">
        <v>0</v>
      </c>
      <c r="E6" s="72">
        <v>95.83</v>
      </c>
      <c r="F6" s="72">
        <v>65.87</v>
      </c>
      <c r="G6" s="74">
        <v>2971.2400000000002</v>
      </c>
    </row>
    <row r="7" spans="1:7" x14ac:dyDescent="0.3">
      <c r="A7" s="71">
        <v>2302.94</v>
      </c>
      <c r="B7" s="72">
        <v>2146.9699999999998</v>
      </c>
      <c r="C7" s="72">
        <v>43.2</v>
      </c>
      <c r="D7" s="72">
        <v>56.73</v>
      </c>
      <c r="E7" s="72">
        <v>81.93</v>
      </c>
      <c r="F7" s="72">
        <v>55.93</v>
      </c>
      <c r="G7" s="74">
        <v>2538.67</v>
      </c>
    </row>
    <row r="8" spans="1:7" x14ac:dyDescent="0.3">
      <c r="A8" s="71">
        <v>1682.93</v>
      </c>
      <c r="B8" s="72">
        <v>524.42000000000007</v>
      </c>
      <c r="C8" s="72">
        <v>28.8</v>
      </c>
      <c r="D8" s="72">
        <v>275.27</v>
      </c>
      <c r="E8" s="72">
        <v>94.039999999999992</v>
      </c>
      <c r="F8" s="72">
        <v>41.53</v>
      </c>
      <c r="G8" s="74">
        <v>2068.5</v>
      </c>
    </row>
    <row r="9" spans="1:7" x14ac:dyDescent="0.3">
      <c r="A9" s="71">
        <v>1682.93</v>
      </c>
      <c r="B9" s="72">
        <v>402.73</v>
      </c>
      <c r="C9" s="72">
        <v>84.87</v>
      </c>
      <c r="D9" s="73">
        <v>0</v>
      </c>
      <c r="E9" s="72">
        <v>65</v>
      </c>
      <c r="F9" s="72">
        <v>70.14</v>
      </c>
      <c r="G9" s="74">
        <v>2426.59</v>
      </c>
    </row>
    <row r="10" spans="1:7" x14ac:dyDescent="0.3">
      <c r="A10" s="71">
        <v>3480.78</v>
      </c>
      <c r="B10" s="72">
        <v>166.61</v>
      </c>
      <c r="C10" s="72">
        <v>28.98</v>
      </c>
      <c r="D10" s="72">
        <v>124.43</v>
      </c>
      <c r="E10" s="72">
        <v>317.31</v>
      </c>
      <c r="F10" s="72">
        <v>44.1</v>
      </c>
      <c r="G10" s="74">
        <v>12769.95</v>
      </c>
    </row>
    <row r="11" spans="1:7" x14ac:dyDescent="0.3">
      <c r="A11" s="85">
        <v>0</v>
      </c>
      <c r="B11" s="73">
        <v>255.52</v>
      </c>
      <c r="C11" s="73">
        <v>0</v>
      </c>
      <c r="D11" s="73">
        <v>0</v>
      </c>
      <c r="E11" s="73">
        <v>395.41</v>
      </c>
      <c r="F11" s="73">
        <v>45.760000000000005</v>
      </c>
      <c r="G11" s="86">
        <v>669</v>
      </c>
    </row>
    <row r="12" spans="1:7" x14ac:dyDescent="0.3">
      <c r="A12" s="85"/>
      <c r="B12" s="73"/>
      <c r="C12" s="73"/>
      <c r="D12" s="73"/>
      <c r="E12" s="73"/>
      <c r="F12" s="73"/>
      <c r="G12" s="86"/>
    </row>
    <row r="13" spans="1:7" x14ac:dyDescent="0.3">
      <c r="A13" s="85">
        <v>0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86">
        <v>0</v>
      </c>
    </row>
    <row r="14" spans="1:7" x14ac:dyDescent="0.3">
      <c r="A14" s="85">
        <v>0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86">
        <v>0</v>
      </c>
    </row>
    <row r="15" spans="1:7" x14ac:dyDescent="0.3">
      <c r="A15" s="90">
        <v>13802.610000000002</v>
      </c>
      <c r="B15" s="91">
        <v>6276.7300000000005</v>
      </c>
      <c r="C15" s="91">
        <v>600.02</v>
      </c>
      <c r="D15" s="91">
        <v>522.78</v>
      </c>
      <c r="E15" s="91">
        <v>1344.39</v>
      </c>
      <c r="F15" s="91">
        <v>429.35</v>
      </c>
      <c r="G15" s="92">
        <v>28525.550000000003</v>
      </c>
    </row>
    <row r="16" spans="1:7" ht="29.4" thickBot="1" x14ac:dyDescent="0.35">
      <c r="A16" s="95" t="s">
        <v>90</v>
      </c>
      <c r="B16" s="96" t="s">
        <v>91</v>
      </c>
      <c r="C16" s="96" t="s">
        <v>92</v>
      </c>
      <c r="D16" s="96" t="s">
        <v>82</v>
      </c>
      <c r="E16" s="96" t="s">
        <v>83</v>
      </c>
      <c r="F16" s="96" t="s">
        <v>93</v>
      </c>
      <c r="G16" s="97" t="s">
        <v>94</v>
      </c>
    </row>
    <row r="17" ht="15" thickTop="1" x14ac:dyDescent="0.3"/>
  </sheetData>
  <conditionalFormatting sqref="A11:G14">
    <cfRule type="cellIs" dxfId="5" priority="2" operator="greaterThan">
      <formula>0</formula>
    </cfRule>
  </conditionalFormatting>
  <conditionalFormatting sqref="A11:G14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2556-1061-46A0-84AF-B44192CB91C0}">
  <dimension ref="B2:Q22"/>
  <sheetViews>
    <sheetView workbookViewId="0">
      <selection activeCell="K25" sqref="K25"/>
    </sheetView>
  </sheetViews>
  <sheetFormatPr defaultRowHeight="14.4" x14ac:dyDescent="0.3"/>
  <cols>
    <col min="8" max="8" width="13.21875" customWidth="1"/>
    <col min="9" max="9" width="11" customWidth="1"/>
    <col min="12" max="12" width="11" customWidth="1"/>
    <col min="15" max="15" width="8.88671875" customWidth="1"/>
    <col min="16" max="16" width="16.109375" customWidth="1"/>
  </cols>
  <sheetData>
    <row r="2" spans="2:17" ht="43.2" x14ac:dyDescent="0.3">
      <c r="B2" s="66" t="s">
        <v>95</v>
      </c>
      <c r="C2" s="67" t="s">
        <v>96</v>
      </c>
      <c r="D2" s="68" t="s">
        <v>97</v>
      </c>
      <c r="E2" s="69" t="s">
        <v>98</v>
      </c>
      <c r="F2" s="67" t="s">
        <v>99</v>
      </c>
      <c r="G2" s="67" t="s">
        <v>100</v>
      </c>
      <c r="H2" s="67" t="s">
        <v>101</v>
      </c>
      <c r="I2" s="67" t="s">
        <v>102</v>
      </c>
      <c r="J2" s="70" t="s">
        <v>103</v>
      </c>
      <c r="K2" s="67" t="s">
        <v>104</v>
      </c>
      <c r="L2" s="67" t="s">
        <v>105</v>
      </c>
      <c r="M2" s="67" t="s">
        <v>106</v>
      </c>
      <c r="N2" s="67" t="s">
        <v>107</v>
      </c>
      <c r="O2" s="67" t="s">
        <v>108</v>
      </c>
      <c r="P2" s="101" t="s">
        <v>111</v>
      </c>
      <c r="Q2" s="100"/>
    </row>
    <row r="3" spans="2:17" x14ac:dyDescent="0.3">
      <c r="B3" s="75"/>
      <c r="C3" s="76"/>
      <c r="D3" s="77"/>
      <c r="E3" s="78"/>
      <c r="F3" s="76">
        <v>901.16</v>
      </c>
      <c r="G3" s="76"/>
      <c r="H3" s="76"/>
      <c r="I3" s="76"/>
      <c r="J3" s="76"/>
      <c r="K3" s="76"/>
      <c r="L3" s="76"/>
      <c r="M3" s="76"/>
      <c r="N3" s="76"/>
      <c r="O3" s="79">
        <v>409.7</v>
      </c>
      <c r="P3" s="102">
        <v>5572.46</v>
      </c>
      <c r="Q3" s="103">
        <v>44287</v>
      </c>
    </row>
    <row r="4" spans="2:17" x14ac:dyDescent="0.3">
      <c r="B4" s="75"/>
      <c r="C4" s="76">
        <v>327</v>
      </c>
      <c r="D4" s="77"/>
      <c r="E4" s="78"/>
      <c r="F4" s="76"/>
      <c r="G4" s="76"/>
      <c r="H4" s="76"/>
      <c r="I4" s="76"/>
      <c r="J4" s="76">
        <v>18.77</v>
      </c>
      <c r="K4" s="76">
        <v>116.38000000000002</v>
      </c>
      <c r="L4" s="76"/>
      <c r="M4" s="76"/>
      <c r="N4" s="76"/>
      <c r="O4" s="79">
        <v>397.96</v>
      </c>
      <c r="P4" s="102">
        <v>4389.75</v>
      </c>
      <c r="Q4" s="103">
        <v>44317</v>
      </c>
    </row>
    <row r="5" spans="2:17" x14ac:dyDescent="0.3">
      <c r="B5" s="80">
        <v>80</v>
      </c>
      <c r="C5" s="81"/>
      <c r="D5" s="82"/>
      <c r="E5" s="83"/>
      <c r="F5" s="81"/>
      <c r="G5" s="81"/>
      <c r="H5" s="81"/>
      <c r="I5" s="81"/>
      <c r="J5" s="81">
        <v>836.58</v>
      </c>
      <c r="K5" s="81">
        <v>102</v>
      </c>
      <c r="L5" s="81"/>
      <c r="M5" s="81"/>
      <c r="N5" s="76">
        <v>61.09</v>
      </c>
      <c r="O5" s="79">
        <v>594.54999999999995</v>
      </c>
      <c r="P5" s="102">
        <v>5803.3200000000006</v>
      </c>
      <c r="Q5" s="103">
        <v>44348</v>
      </c>
    </row>
    <row r="6" spans="2:17" x14ac:dyDescent="0.3">
      <c r="B6" s="75">
        <v>50</v>
      </c>
      <c r="C6" s="76"/>
      <c r="D6" s="77"/>
      <c r="E6" s="78"/>
      <c r="F6" s="76"/>
      <c r="G6" s="76"/>
      <c r="H6" s="76"/>
      <c r="I6" s="76"/>
      <c r="J6" s="76"/>
      <c r="K6" s="76"/>
      <c r="L6" s="76"/>
      <c r="M6" s="76"/>
      <c r="N6" s="76">
        <v>264.63</v>
      </c>
      <c r="O6" s="79">
        <v>499.38</v>
      </c>
      <c r="P6" s="102">
        <v>5423.130000000001</v>
      </c>
      <c r="Q6" s="103">
        <v>44378</v>
      </c>
    </row>
    <row r="7" spans="2:17" x14ac:dyDescent="0.3">
      <c r="B7" s="75"/>
      <c r="C7" s="76">
        <v>500</v>
      </c>
      <c r="D7" s="77"/>
      <c r="E7" s="78"/>
      <c r="F7" s="76"/>
      <c r="G7" s="76"/>
      <c r="H7" s="76"/>
      <c r="I7" s="76"/>
      <c r="J7" s="76"/>
      <c r="K7" s="76">
        <v>210</v>
      </c>
      <c r="L7" s="76"/>
      <c r="M7" s="76">
        <v>94</v>
      </c>
      <c r="N7" s="76">
        <v>406.88</v>
      </c>
      <c r="O7" s="79">
        <v>459.26</v>
      </c>
      <c r="P7" s="102">
        <v>8896.51</v>
      </c>
      <c r="Q7" s="103">
        <v>44409</v>
      </c>
    </row>
    <row r="8" spans="2:17" x14ac:dyDescent="0.3">
      <c r="B8" s="75">
        <v>50</v>
      </c>
      <c r="C8" s="76"/>
      <c r="D8" s="77">
        <v>126.19</v>
      </c>
      <c r="E8" s="78"/>
      <c r="F8" s="76"/>
      <c r="G8" s="76"/>
      <c r="H8" s="76"/>
      <c r="I8" s="76"/>
      <c r="J8" s="76"/>
      <c r="K8" s="76"/>
      <c r="L8" s="76">
        <v>1216.6599999999999</v>
      </c>
      <c r="M8" s="76"/>
      <c r="N8" s="76"/>
      <c r="O8" s="84">
        <v>810.66</v>
      </c>
      <c r="P8" s="102">
        <v>6919</v>
      </c>
      <c r="Q8" s="103">
        <v>44440</v>
      </c>
    </row>
    <row r="9" spans="2:17" x14ac:dyDescent="0.3">
      <c r="B9" s="75">
        <v>248</v>
      </c>
      <c r="C9" s="76"/>
      <c r="D9" s="77">
        <v>50</v>
      </c>
      <c r="E9" s="78"/>
      <c r="F9" s="76">
        <v>901.16</v>
      </c>
      <c r="G9" s="76"/>
      <c r="H9" s="76"/>
      <c r="I9" s="76"/>
      <c r="J9" s="76">
        <v>12.29</v>
      </c>
      <c r="K9" s="76"/>
      <c r="L9" s="76">
        <v>400</v>
      </c>
      <c r="M9" s="76"/>
      <c r="N9" s="76"/>
      <c r="O9" s="84">
        <v>488.94</v>
      </c>
      <c r="P9" s="102">
        <v>6832.65</v>
      </c>
      <c r="Q9" s="103">
        <v>44470</v>
      </c>
    </row>
    <row r="10" spans="2:17" x14ac:dyDescent="0.3">
      <c r="B10" s="75">
        <v>32.659999999999997</v>
      </c>
      <c r="C10" s="76">
        <v>200</v>
      </c>
      <c r="D10" s="77"/>
      <c r="E10" s="78"/>
      <c r="F10" s="76"/>
      <c r="G10" s="76">
        <v>695.14</v>
      </c>
      <c r="H10" s="76"/>
      <c r="I10" s="76"/>
      <c r="J10" s="76"/>
      <c r="K10" s="76"/>
      <c r="L10" s="76"/>
      <c r="M10" s="76"/>
      <c r="N10" s="76"/>
      <c r="O10" s="84">
        <v>2338.48</v>
      </c>
      <c r="P10" s="102">
        <v>20198.440000000002</v>
      </c>
      <c r="Q10" s="103">
        <v>44501</v>
      </c>
    </row>
    <row r="11" spans="2:17" x14ac:dyDescent="0.3">
      <c r="B11" s="75">
        <v>24</v>
      </c>
      <c r="C11" s="76"/>
      <c r="D11" s="77"/>
      <c r="E11" s="87"/>
      <c r="F11" s="88"/>
      <c r="G11" s="88"/>
      <c r="H11" s="76"/>
      <c r="I11" s="88"/>
      <c r="J11" s="81"/>
      <c r="K11" s="88"/>
      <c r="L11" s="88"/>
      <c r="M11" s="88">
        <v>760</v>
      </c>
      <c r="N11" s="88"/>
      <c r="O11" s="84">
        <v>160.28</v>
      </c>
      <c r="P11" s="102">
        <v>2309.9700000000003</v>
      </c>
      <c r="Q11" s="103">
        <v>44531</v>
      </c>
    </row>
    <row r="12" spans="2:17" x14ac:dyDescent="0.3">
      <c r="B12" s="75"/>
      <c r="C12" s="76"/>
      <c r="D12" s="77"/>
      <c r="E12" s="78"/>
      <c r="F12" s="76"/>
      <c r="G12" s="76"/>
      <c r="H12" s="76"/>
      <c r="I12" s="76"/>
      <c r="J12" s="76"/>
      <c r="K12" s="76"/>
      <c r="L12" s="76"/>
      <c r="M12" s="76"/>
      <c r="N12" s="76"/>
      <c r="O12" s="84"/>
      <c r="P12" s="102">
        <v>0</v>
      </c>
      <c r="Q12" s="103">
        <v>44562</v>
      </c>
    </row>
    <row r="13" spans="2:17" x14ac:dyDescent="0.3">
      <c r="B13" s="75"/>
      <c r="C13" s="89"/>
      <c r="D13" s="77"/>
      <c r="E13" s="78"/>
      <c r="F13" s="76"/>
      <c r="G13" s="76"/>
      <c r="H13" s="76"/>
      <c r="I13" s="76"/>
      <c r="J13" s="76"/>
      <c r="K13" s="76"/>
      <c r="L13" s="76"/>
      <c r="M13" s="76"/>
      <c r="N13" s="76"/>
      <c r="O13" s="84"/>
      <c r="P13" s="102">
        <v>0</v>
      </c>
      <c r="Q13" s="103">
        <v>44593</v>
      </c>
    </row>
    <row r="14" spans="2:17" ht="15" thickBot="1" x14ac:dyDescent="0.35">
      <c r="B14" s="75"/>
      <c r="C14" s="76"/>
      <c r="D14" s="77"/>
      <c r="E14" s="78"/>
      <c r="F14" s="76"/>
      <c r="G14" s="76"/>
      <c r="H14" s="76"/>
      <c r="I14" s="76"/>
      <c r="J14" s="76"/>
      <c r="K14" s="76"/>
      <c r="L14" s="76"/>
      <c r="M14" s="76"/>
      <c r="N14" s="76"/>
      <c r="O14" s="84"/>
      <c r="P14" s="102">
        <v>0</v>
      </c>
      <c r="Q14" s="103">
        <v>44621</v>
      </c>
    </row>
    <row r="15" spans="2:17" ht="15" thickBot="1" x14ac:dyDescent="0.35">
      <c r="B15" s="93">
        <v>484.65999999999997</v>
      </c>
      <c r="C15" s="91">
        <v>1027</v>
      </c>
      <c r="D15" s="91">
        <v>176.19</v>
      </c>
      <c r="E15" s="91">
        <v>0</v>
      </c>
      <c r="F15" s="91">
        <v>1802.32</v>
      </c>
      <c r="G15" s="91">
        <v>695.14</v>
      </c>
      <c r="H15" s="91">
        <v>0</v>
      </c>
      <c r="I15" s="91">
        <v>0</v>
      </c>
      <c r="J15" s="91">
        <v>867.64</v>
      </c>
      <c r="K15" s="91">
        <v>428.38</v>
      </c>
      <c r="L15" s="91">
        <v>1616.6599999999999</v>
      </c>
      <c r="M15" s="91">
        <v>854</v>
      </c>
      <c r="N15" s="91">
        <v>732.6</v>
      </c>
      <c r="O15" s="94">
        <v>6159.21</v>
      </c>
      <c r="P15" s="104">
        <v>66345.23</v>
      </c>
      <c r="Q15" s="89"/>
    </row>
    <row r="16" spans="2:17" ht="43.8" thickBot="1" x14ac:dyDescent="0.35">
      <c r="B16" s="66" t="s">
        <v>95</v>
      </c>
      <c r="C16" s="67" t="s">
        <v>96</v>
      </c>
      <c r="D16" s="68" t="s">
        <v>97</v>
      </c>
      <c r="E16" s="69" t="s">
        <v>98</v>
      </c>
      <c r="F16" s="67" t="s">
        <v>99</v>
      </c>
      <c r="G16" s="67" t="s">
        <v>100</v>
      </c>
      <c r="H16" s="67" t="s">
        <v>101</v>
      </c>
      <c r="I16" s="67" t="s">
        <v>102</v>
      </c>
      <c r="J16" s="70" t="s">
        <v>103</v>
      </c>
      <c r="K16" s="67" t="s">
        <v>104</v>
      </c>
      <c r="L16" s="67" t="s">
        <v>105</v>
      </c>
      <c r="M16" s="67" t="s">
        <v>106</v>
      </c>
      <c r="N16" s="67" t="s">
        <v>107</v>
      </c>
      <c r="O16" s="98" t="s">
        <v>108</v>
      </c>
      <c r="P16" s="105">
        <v>66345.23000000001</v>
      </c>
      <c r="Q16" s="89"/>
    </row>
    <row r="17" spans="2:17" x14ac:dyDescent="0.3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106"/>
      <c r="Q17" s="89"/>
    </row>
    <row r="18" spans="2:17" ht="18" x14ac:dyDescent="0.3">
      <c r="B18" s="89"/>
      <c r="C18" s="89"/>
      <c r="D18" s="89"/>
      <c r="E18" s="89"/>
      <c r="F18" s="99" t="s">
        <v>14</v>
      </c>
      <c r="G18" s="89"/>
      <c r="H18" s="89"/>
      <c r="I18" s="89"/>
      <c r="J18" s="89"/>
      <c r="K18" s="89"/>
      <c r="L18" s="89"/>
      <c r="M18" s="100" t="s">
        <v>90</v>
      </c>
      <c r="N18" s="100"/>
      <c r="O18" s="89"/>
      <c r="P18" s="102">
        <v>13802.610000000002</v>
      </c>
      <c r="Q18" s="99" t="s">
        <v>12</v>
      </c>
    </row>
    <row r="19" spans="2:17" ht="18" x14ac:dyDescent="0.3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0" t="s">
        <v>109</v>
      </c>
      <c r="N19" s="100"/>
      <c r="O19" s="89"/>
      <c r="P19" s="102">
        <v>1802.32</v>
      </c>
      <c r="Q19" s="99" t="s">
        <v>14</v>
      </c>
    </row>
    <row r="20" spans="2:17" ht="18.600000000000001" thickBot="1" x14ac:dyDescent="0.3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100" t="s">
        <v>110</v>
      </c>
      <c r="N20" s="100"/>
      <c r="O20" s="89"/>
      <c r="P20" s="102">
        <v>50740.300000000017</v>
      </c>
      <c r="Q20" s="99" t="s">
        <v>17</v>
      </c>
    </row>
    <row r="21" spans="2:17" ht="15" thickBot="1" x14ac:dyDescent="0.3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105">
        <v>66345.230000000025</v>
      </c>
      <c r="Q21" s="89"/>
    </row>
    <row r="22" spans="2:17" x14ac:dyDescent="0.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106"/>
      <c r="Q22" s="89"/>
    </row>
  </sheetData>
  <conditionalFormatting sqref="B11:P14">
    <cfRule type="cellIs" dxfId="3" priority="2" operator="greaterThan">
      <formula>0</formula>
    </cfRule>
  </conditionalFormatting>
  <conditionalFormatting sqref="B11:O14">
    <cfRule type="cellIs" dxfId="2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425B7-F84C-48D8-BC12-3B4ADF6BD937}">
  <dimension ref="A1:L25"/>
  <sheetViews>
    <sheetView workbookViewId="0">
      <selection activeCell="D34" sqref="D34"/>
    </sheetView>
  </sheetViews>
  <sheetFormatPr defaultRowHeight="14.4" x14ac:dyDescent="0.3"/>
  <cols>
    <col min="3" max="3" width="13.88671875" bestFit="1" customWidth="1"/>
    <col min="5" max="5" width="10.109375" bestFit="1" customWidth="1"/>
    <col min="10" max="11" width="9.109375" bestFit="1" customWidth="1"/>
  </cols>
  <sheetData>
    <row r="1" spans="1:12" x14ac:dyDescent="0.3">
      <c r="A1" s="153" t="s">
        <v>77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.6" x14ac:dyDescent="0.3">
      <c r="A3" s="46"/>
      <c r="B3" s="47"/>
      <c r="C3" s="154" t="s">
        <v>78</v>
      </c>
      <c r="D3" s="154"/>
      <c r="E3" s="154"/>
      <c r="F3" s="154"/>
      <c r="G3" s="154"/>
      <c r="H3" s="154"/>
      <c r="I3" s="154"/>
      <c r="J3" s="154"/>
      <c r="K3" s="154"/>
      <c r="L3" s="48"/>
    </row>
    <row r="4" spans="1:12" x14ac:dyDescent="0.3">
      <c r="A4" s="46" t="s">
        <v>79</v>
      </c>
      <c r="B4" s="49"/>
      <c r="C4" s="50" t="s">
        <v>80</v>
      </c>
      <c r="D4" s="50" t="s">
        <v>81</v>
      </c>
      <c r="E4" s="50" t="s">
        <v>82</v>
      </c>
      <c r="F4" s="50" t="s">
        <v>83</v>
      </c>
      <c r="G4" s="50" t="s">
        <v>84</v>
      </c>
      <c r="H4" s="50" t="s">
        <v>85</v>
      </c>
      <c r="I4" s="50" t="s">
        <v>86</v>
      </c>
      <c r="J4" s="50" t="s">
        <v>87</v>
      </c>
      <c r="K4" s="50" t="s">
        <v>88</v>
      </c>
      <c r="L4" s="51"/>
    </row>
    <row r="5" spans="1:12" x14ac:dyDescent="0.3">
      <c r="A5" s="52">
        <v>44287</v>
      </c>
      <c r="B5" s="47"/>
      <c r="C5" s="53">
        <f>'[1]Income Tab 21-22'!C6</f>
        <v>23750</v>
      </c>
      <c r="D5" s="54">
        <f>'[1]Income Tab 21-22'!D6</f>
        <v>0</v>
      </c>
      <c r="E5" s="53">
        <f>'[1]Income Tab 21-22'!E6</f>
        <v>840.3</v>
      </c>
      <c r="F5" s="54">
        <f>'[1]Income Tab 21-22'!F6</f>
        <v>0</v>
      </c>
      <c r="G5" s="54">
        <f>'[1]Income Tab 21-22'!G6+'[1]Income Tab 21-22'!H6+'[1]Income Tab 21-22'!I6</f>
        <v>0</v>
      </c>
      <c r="H5" s="54">
        <f>'[1]Income Tab 21-22'!J6+'[1]Income Tab 21-22'!K6+'[1]Income Tab 21-22'!L6+'[1]Income Tab 21-22'!M6+'[1]Income Tab 21-22'!N6+'[1]Income Tab 21-22'!O6+'[1]Income Tab 21-22'!P6</f>
        <v>0</v>
      </c>
      <c r="I5" s="54">
        <f>'[1]Income Tab 21-22'!Q6</f>
        <v>0</v>
      </c>
      <c r="J5" s="53">
        <f>'[1]Income Tab 21-22'!R6+'[1]Income Tab 21-22'!S6+'[1]Income Tab 21-22'!U6+'[1]Income Tab 21-22'!T6</f>
        <v>31.04</v>
      </c>
      <c r="K5" s="54">
        <f>'[1]Income Tab 21-22'!V6</f>
        <v>0</v>
      </c>
      <c r="L5" s="55"/>
    </row>
    <row r="6" spans="1:12" x14ac:dyDescent="0.3">
      <c r="A6" s="52">
        <v>44317</v>
      </c>
      <c r="B6" s="47"/>
      <c r="C6" s="54">
        <f>'[1]Income Tab 21-22'!C7</f>
        <v>0</v>
      </c>
      <c r="D6" s="53">
        <f>198+320</f>
        <v>518</v>
      </c>
      <c r="E6" s="54">
        <f>'[1]Income Tab 21-22'!E7</f>
        <v>0</v>
      </c>
      <c r="F6" s="54">
        <f>'[1]Income Tab 21-22'!F7</f>
        <v>0</v>
      </c>
      <c r="G6" s="54">
        <f>'[1]Income Tab 21-22'!G7+'[1]Income Tab 21-22'!H7+'[1]Income Tab 21-22'!I7</f>
        <v>0</v>
      </c>
      <c r="H6" s="53">
        <f>'[1]Income Tab 21-22'!J7+'[1]Income Tab 21-22'!K7+'[1]Income Tab 21-22'!L7+'[1]Income Tab 21-22'!M7+'[1]Income Tab 21-22'!N7+'[1]Income Tab 21-22'!O7+'[1]Income Tab 21-22'!P7</f>
        <v>1000</v>
      </c>
      <c r="I6" s="54">
        <f>'[1]Income Tab 21-22'!Q7</f>
        <v>0</v>
      </c>
      <c r="J6" s="54">
        <f>'[1]Income Tab 21-22'!R7+'[1]Income Tab 21-22'!S7+'[1]Income Tab 21-22'!U7+'[1]Income Tab 21-22'!T7</f>
        <v>0</v>
      </c>
      <c r="K6" s="54">
        <f>'[1]Income Tab 21-22'!V7</f>
        <v>0</v>
      </c>
      <c r="L6" s="56"/>
    </row>
    <row r="7" spans="1:12" x14ac:dyDescent="0.3">
      <c r="A7" s="52">
        <v>44348</v>
      </c>
      <c r="B7" s="47"/>
      <c r="C7" s="54">
        <f>'[1]Income Tab 21-22'!C8</f>
        <v>0</v>
      </c>
      <c r="D7" s="53">
        <f>'[1]Income Tab 21-22'!D8</f>
        <v>25</v>
      </c>
      <c r="E7" s="54">
        <f>'[1]Income Tab 21-22'!E8</f>
        <v>0</v>
      </c>
      <c r="F7" s="53">
        <f>'[1]Income Tab 21-22'!F8</f>
        <v>625</v>
      </c>
      <c r="G7" s="54">
        <f>'[1]Income Tab 21-22'!G8+'[1]Income Tab 21-22'!H8+'[1]Income Tab 21-22'!I8</f>
        <v>0</v>
      </c>
      <c r="H7" s="54">
        <f>'[1]Income Tab 21-22'!J8+'[1]Income Tab 21-22'!K8+'[1]Income Tab 21-22'!L8+'[1]Income Tab 21-22'!M8+'[1]Income Tab 21-22'!N8+'[1]Income Tab 21-22'!O8+'[1]Income Tab 21-22'!P8</f>
        <v>0</v>
      </c>
      <c r="I7" s="54">
        <f>'[1]Income Tab 21-22'!Q8</f>
        <v>0</v>
      </c>
      <c r="J7" s="53">
        <f>'[1]Income Tab 21-22'!R8+'[1]Income Tab 21-22'!S8+'[1]Income Tab 21-22'!U8+'[1]Income Tab 21-22'!T8</f>
        <v>422.31</v>
      </c>
      <c r="K7" s="53">
        <f>'[1]Income Tab 21-22'!V8</f>
        <v>824.49</v>
      </c>
      <c r="L7" s="56"/>
    </row>
    <row r="8" spans="1:12" x14ac:dyDescent="0.3">
      <c r="A8" s="52">
        <v>44378</v>
      </c>
      <c r="B8" s="47"/>
      <c r="C8" s="54">
        <f>'[1]Income Tab 21-22'!C9</f>
        <v>0</v>
      </c>
      <c r="D8" s="53">
        <f>'[1]Income Tab 21-22'!D9</f>
        <v>312</v>
      </c>
      <c r="E8" s="54">
        <f>'[1]Income Tab 21-22'!E9</f>
        <v>0</v>
      </c>
      <c r="F8" s="54">
        <f>'[1]Income Tab 21-22'!F9</f>
        <v>0</v>
      </c>
      <c r="G8" s="54">
        <f>'[1]Income Tab 21-22'!G9+'[1]Income Tab 21-22'!H9+'[1]Income Tab 21-22'!I9</f>
        <v>0</v>
      </c>
      <c r="H8" s="53">
        <f>'[1]Income Tab 21-22'!J9+'[1]Income Tab 21-22'!K9+'[1]Income Tab 21-22'!L9+'[1]Income Tab 21-22'!M9+'[1]Income Tab 21-22'!N9+'[1]Income Tab 21-22'!O9+'[1]Income Tab 21-22'!P9</f>
        <v>750</v>
      </c>
      <c r="I8" s="54">
        <f>'[1]Income Tab 21-22'!Q9</f>
        <v>0</v>
      </c>
      <c r="J8" s="54">
        <f>'[1]Income Tab 21-22'!R9+'[1]Income Tab 21-22'!S9+'[1]Income Tab 21-22'!U9+'[1]Income Tab 21-22'!T9</f>
        <v>0</v>
      </c>
      <c r="K8" s="54">
        <f>'[1]Income Tab 21-22'!V9</f>
        <v>0</v>
      </c>
      <c r="L8" s="56"/>
    </row>
    <row r="9" spans="1:12" x14ac:dyDescent="0.3">
      <c r="A9" s="52">
        <v>44409</v>
      </c>
      <c r="B9" s="47"/>
      <c r="C9" s="54">
        <f>'[1]Income Tab 21-22'!C10</f>
        <v>0</v>
      </c>
      <c r="D9" s="53">
        <f>'[1]Income Tab 21-22'!D10</f>
        <v>3150</v>
      </c>
      <c r="E9" s="54">
        <f>'[1]Income Tab 21-22'!E10</f>
        <v>0</v>
      </c>
      <c r="F9" s="54">
        <f>'[1]Income Tab 21-22'!F10</f>
        <v>0</v>
      </c>
      <c r="G9" s="54">
        <f>'[1]Income Tab 21-22'!G10+'[1]Income Tab 21-22'!H10+'[1]Income Tab 21-22'!I10</f>
        <v>0</v>
      </c>
      <c r="H9" s="54">
        <f>'[1]Income Tab 21-22'!J10+'[1]Income Tab 21-22'!K10+'[1]Income Tab 21-22'!L10+'[1]Income Tab 21-22'!M10+'[1]Income Tab 21-22'!N10+'[1]Income Tab 21-22'!O10+'[1]Income Tab 21-22'!P10</f>
        <v>0</v>
      </c>
      <c r="I9" s="54">
        <f>'[1]Income Tab 21-22'!Q10</f>
        <v>0</v>
      </c>
      <c r="J9" s="54">
        <f>'[1]Income Tab 21-22'!R10+'[1]Income Tab 21-22'!S10+'[1]Income Tab 21-22'!U10+'[1]Income Tab 21-22'!T10</f>
        <v>87.87</v>
      </c>
      <c r="K9" s="54">
        <f>'[1]Income Tab 21-22'!V10</f>
        <v>0</v>
      </c>
      <c r="L9" s="56"/>
    </row>
    <row r="10" spans="1:12" x14ac:dyDescent="0.3">
      <c r="A10" s="52">
        <v>44440</v>
      </c>
      <c r="B10" s="47"/>
      <c r="C10" s="53">
        <f>'[1]Income Tab 21-22'!C11</f>
        <v>23750</v>
      </c>
      <c r="D10" s="54">
        <f>'[1]Income Tab 21-22'!D11</f>
        <v>0</v>
      </c>
      <c r="E10" s="54">
        <f>'[1]Income Tab 21-22'!E11</f>
        <v>36</v>
      </c>
      <c r="F10" s="53">
        <f>'[1]Income Tab 21-22'!F11</f>
        <v>625</v>
      </c>
      <c r="G10" s="54">
        <f>'[1]Income Tab 21-22'!G11+'[1]Income Tab 21-22'!H11+'[1]Income Tab 21-22'!I11</f>
        <v>0</v>
      </c>
      <c r="H10" s="54">
        <f>'[1]Income Tab 21-22'!J11+'[1]Income Tab 21-22'!K11+'[1]Income Tab 21-22'!L11+'[1]Income Tab 21-22'!M11+'[1]Income Tab 21-22'!N11+'[1]Income Tab 21-22'!O11+'[1]Income Tab 21-22'!P11</f>
        <v>0</v>
      </c>
      <c r="I10" s="54">
        <f>'[1]Income Tab 21-22'!Q11</f>
        <v>0</v>
      </c>
      <c r="J10" s="54">
        <f>'[1]Income Tab 21-22'!R11+'[1]Income Tab 21-22'!S11+'[1]Income Tab 21-22'!U11+'[1]Income Tab 21-22'!T11</f>
        <v>0</v>
      </c>
      <c r="K10" s="54">
        <f>'[1]Income Tab 21-22'!V11</f>
        <v>1611.8</v>
      </c>
      <c r="L10" s="56"/>
    </row>
    <row r="11" spans="1:12" x14ac:dyDescent="0.3">
      <c r="A11" s="52">
        <v>44470</v>
      </c>
      <c r="B11" s="47"/>
      <c r="C11" s="54">
        <f>'[1]Income Tab 21-22'!C12</f>
        <v>0</v>
      </c>
      <c r="D11" s="53">
        <f>'[1]Income Tab 21-22'!D12</f>
        <v>120</v>
      </c>
      <c r="E11" s="53">
        <f>'[1]Income Tab 21-22'!E12</f>
        <v>63</v>
      </c>
      <c r="F11" s="54">
        <f>'[1]Income Tab 21-22'!F12</f>
        <v>0</v>
      </c>
      <c r="G11" s="53">
        <f>'[1]Income Tab 21-22'!G12+'[1]Income Tab 21-22'!H12+'[1]Income Tab 21-22'!I12</f>
        <v>1262</v>
      </c>
      <c r="H11" s="54">
        <f>'[1]Income Tab 21-22'!J12+'[1]Income Tab 21-22'!K12+'[1]Income Tab 21-22'!L12+'[1]Income Tab 21-22'!M12+'[1]Income Tab 21-22'!N12+'[1]Income Tab 21-22'!O12+'[1]Income Tab 21-22'!P12</f>
        <v>0</v>
      </c>
      <c r="I11" s="53">
        <f>'[1]Income Tab 21-22'!Q12</f>
        <v>1371.75</v>
      </c>
      <c r="J11" s="53">
        <f>'[1]Income Tab 21-22'!R12+'[1]Income Tab 21-22'!S12+'[1]Income Tab 21-22'!U12+'[1]Income Tab 21-22'!T12</f>
        <v>333</v>
      </c>
      <c r="K11" s="54">
        <f>'[1]Income Tab 21-22'!V12</f>
        <v>0</v>
      </c>
      <c r="L11" s="56"/>
    </row>
    <row r="12" spans="1:12" x14ac:dyDescent="0.3">
      <c r="A12" s="52">
        <v>44501</v>
      </c>
      <c r="B12" s="49"/>
      <c r="C12" s="54">
        <f>'[1]Income Tab 21-22'!C13</f>
        <v>0</v>
      </c>
      <c r="D12" s="53">
        <f>'[1]Income Tab 21-22'!D13</f>
        <v>860</v>
      </c>
      <c r="E12" s="53">
        <f>'[1]Income Tab 21-22'!E13</f>
        <v>279.5</v>
      </c>
      <c r="F12" s="54">
        <f>'[1]Income Tab 21-22'!F13</f>
        <v>0</v>
      </c>
      <c r="G12" s="53">
        <f>'[1]Income Tab 21-22'!G13+'[1]Income Tab 21-22'!H13+'[1]Income Tab 21-22'!I13</f>
        <v>106.35</v>
      </c>
      <c r="H12" s="54">
        <f>'[1]Income Tab 21-22'!J13+'[1]Income Tab 21-22'!K13+'[1]Income Tab 21-22'!L13+'[1]Income Tab 21-22'!M13+'[1]Income Tab 21-22'!N13+'[1]Income Tab 21-22'!O13+'[1]Income Tab 21-22'!P13</f>
        <v>0</v>
      </c>
      <c r="I12" s="54">
        <f>'[1]Income Tab 21-22'!Q13</f>
        <v>0</v>
      </c>
      <c r="J12" s="53">
        <f>'[1]Income Tab 21-22'!R13+'[1]Income Tab 21-22'!S13+'[1]Income Tab 21-22'!U13+'[1]Income Tab 21-22'!T13</f>
        <v>4262.55</v>
      </c>
      <c r="K12" s="54">
        <f>'[1]Income Tab 21-22'!V13</f>
        <v>0</v>
      </c>
      <c r="L12" s="57"/>
    </row>
    <row r="13" spans="1:12" x14ac:dyDescent="0.3">
      <c r="A13" s="52">
        <v>44531</v>
      </c>
      <c r="B13" s="47"/>
      <c r="C13" s="54">
        <f>'[1]Income Tab 21-22'!C14</f>
        <v>0</v>
      </c>
      <c r="D13" s="54">
        <f>'[1]Income Tab 21-22'!D14</f>
        <v>430</v>
      </c>
      <c r="E13" s="54">
        <f>'[1]Income Tab 21-22'!E14</f>
        <v>274.5</v>
      </c>
      <c r="F13" s="54">
        <f>'[1]Income Tab 21-22'!F14</f>
        <v>625</v>
      </c>
      <c r="G13" s="54">
        <f>'[1]Income Tab 21-22'!G14+'[1]Income Tab 21-22'!H14+'[1]Income Tab 21-22'!I14</f>
        <v>0</v>
      </c>
      <c r="H13" s="54">
        <f>'[1]Income Tab 21-22'!J14+'[1]Income Tab 21-22'!K14+'[1]Income Tab 21-22'!L14+'[1]Income Tab 21-22'!M14+'[1]Income Tab 21-22'!N14+'[1]Income Tab 21-22'!O14+'[1]Income Tab 21-22'!P14</f>
        <v>0</v>
      </c>
      <c r="I13" s="54">
        <f>'[1]Income Tab 21-22'!Q14</f>
        <v>0</v>
      </c>
      <c r="J13" s="54">
        <f>'[1]Income Tab 21-22'!R14+'[1]Income Tab 21-22'!S14+'[1]Income Tab 21-22'!U14+'[1]Income Tab 21-22'!T14</f>
        <v>127.5</v>
      </c>
      <c r="K13" s="54">
        <f>'[1]Income Tab 21-22'!V14</f>
        <v>3637.63</v>
      </c>
      <c r="L13" s="56"/>
    </row>
    <row r="14" spans="1:12" x14ac:dyDescent="0.3">
      <c r="A14" s="52">
        <v>44562</v>
      </c>
      <c r="B14" s="49"/>
      <c r="C14" s="54"/>
      <c r="D14" s="54"/>
      <c r="E14" s="54"/>
      <c r="F14" s="54"/>
      <c r="G14" s="54"/>
      <c r="H14" s="54"/>
      <c r="I14" s="54"/>
      <c r="J14" s="54"/>
      <c r="K14" s="54"/>
      <c r="L14" s="57"/>
    </row>
    <row r="15" spans="1:12" x14ac:dyDescent="0.3">
      <c r="A15" s="52">
        <v>44593</v>
      </c>
      <c r="B15" s="47"/>
      <c r="C15" s="54">
        <f>'[1]Income Tab 21-22'!C16</f>
        <v>0</v>
      </c>
      <c r="D15" s="54">
        <f>'[1]Income Tab 21-22'!D16</f>
        <v>0</v>
      </c>
      <c r="E15" s="54">
        <f>'[1]Income Tab 21-22'!E16</f>
        <v>0</v>
      </c>
      <c r="F15" s="54">
        <f>'[1]Income Tab 21-22'!F16</f>
        <v>0</v>
      </c>
      <c r="G15" s="54">
        <f>'[1]Income Tab 21-22'!G16+'[1]Income Tab 21-22'!H16+'[1]Income Tab 21-22'!I16</f>
        <v>0</v>
      </c>
      <c r="H15" s="54">
        <f>'[1]Income Tab 21-22'!J16+'[1]Income Tab 21-22'!K16+'[1]Income Tab 21-22'!L16+'[1]Income Tab 21-22'!M16+'[1]Income Tab 21-22'!N16+'[1]Income Tab 21-22'!O16+'[1]Income Tab 21-22'!P16</f>
        <v>0</v>
      </c>
      <c r="I15" s="54">
        <f>'[1]Income Tab 21-22'!Q16</f>
        <v>0</v>
      </c>
      <c r="J15" s="54">
        <f>'[1]Income Tab 21-22'!R16+'[1]Income Tab 21-22'!S16+'[1]Income Tab 21-22'!U16+'[1]Income Tab 21-22'!T16</f>
        <v>0</v>
      </c>
      <c r="K15" s="54">
        <f>'[1]Income Tab 21-22'!V16</f>
        <v>0</v>
      </c>
      <c r="L15" s="56"/>
    </row>
    <row r="16" spans="1:12" x14ac:dyDescent="0.3">
      <c r="A16" s="52">
        <v>44621</v>
      </c>
      <c r="B16" s="49"/>
      <c r="C16" s="54">
        <f>'[1]Income Tab 21-22'!C17</f>
        <v>0</v>
      </c>
      <c r="D16" s="54">
        <f>'[1]Income Tab 21-22'!D17</f>
        <v>0</v>
      </c>
      <c r="E16" s="54">
        <f>'[1]Income Tab 21-22'!E17</f>
        <v>0</v>
      </c>
      <c r="F16" s="54">
        <f>'[1]Income Tab 21-22'!F17</f>
        <v>0</v>
      </c>
      <c r="G16" s="54">
        <f>'[1]Income Tab 21-22'!G17+'[1]Income Tab 21-22'!H17+'[1]Income Tab 21-22'!I17</f>
        <v>0</v>
      </c>
      <c r="H16" s="54">
        <f>'[1]Income Tab 21-22'!J17+'[1]Income Tab 21-22'!K17+'[1]Income Tab 21-22'!L17+'[1]Income Tab 21-22'!M17+'[1]Income Tab 21-22'!N17+'[1]Income Tab 21-22'!O17+'[1]Income Tab 21-22'!P17</f>
        <v>0</v>
      </c>
      <c r="I16" s="54">
        <f>'[1]Income Tab 21-22'!Q17</f>
        <v>0</v>
      </c>
      <c r="J16" s="54">
        <f>'[1]Income Tab 21-22'!R17+'[1]Income Tab 21-22'!S17+'[1]Income Tab 21-22'!U17+'[1]Income Tab 21-22'!T17</f>
        <v>0</v>
      </c>
      <c r="K16" s="54">
        <f>'[1]Income Tab 21-22'!V17</f>
        <v>0</v>
      </c>
      <c r="L16" s="57"/>
    </row>
    <row r="17" spans="1:12" x14ac:dyDescent="0.3">
      <c r="A17" s="46"/>
      <c r="B17" s="47"/>
      <c r="C17" s="58">
        <f>SUM(C5:C16)</f>
        <v>47500</v>
      </c>
      <c r="D17" s="58">
        <f t="shared" ref="D17:K17" si="0">SUM(D5:D16)</f>
        <v>5415</v>
      </c>
      <c r="E17" s="58">
        <f t="shared" si="0"/>
        <v>1493.3</v>
      </c>
      <c r="F17" s="58">
        <f t="shared" si="0"/>
        <v>1875</v>
      </c>
      <c r="G17" s="58">
        <f t="shared" si="0"/>
        <v>1368.35</v>
      </c>
      <c r="H17" s="58">
        <f t="shared" si="0"/>
        <v>1750</v>
      </c>
      <c r="I17" s="58">
        <f t="shared" si="0"/>
        <v>1371.75</v>
      </c>
      <c r="J17" s="58">
        <f t="shared" si="0"/>
        <v>5264.27</v>
      </c>
      <c r="K17" s="58">
        <f t="shared" si="0"/>
        <v>6073.92</v>
      </c>
      <c r="L17" s="59"/>
    </row>
    <row r="18" spans="1:12" x14ac:dyDescent="0.3">
      <c r="A18" s="46"/>
      <c r="B18" s="47"/>
      <c r="C18" s="50" t="s">
        <v>80</v>
      </c>
      <c r="D18" s="50" t="s">
        <v>81</v>
      </c>
      <c r="E18" s="50" t="s">
        <v>82</v>
      </c>
      <c r="F18" s="50" t="s">
        <v>83</v>
      </c>
      <c r="G18" s="50" t="s">
        <v>84</v>
      </c>
      <c r="H18" s="50" t="s">
        <v>85</v>
      </c>
      <c r="I18" s="50" t="s">
        <v>86</v>
      </c>
      <c r="J18" s="50" t="s">
        <v>87</v>
      </c>
      <c r="K18" s="50" t="s">
        <v>88</v>
      </c>
      <c r="L18" s="51"/>
    </row>
    <row r="19" spans="1:12" x14ac:dyDescent="0.3">
      <c r="A19" s="46"/>
      <c r="B19" s="47"/>
      <c r="C19" s="47"/>
      <c r="D19" s="47"/>
      <c r="E19" s="47"/>
      <c r="F19" s="47"/>
      <c r="G19" s="47"/>
      <c r="H19" s="47"/>
      <c r="I19" s="47"/>
      <c r="J19" s="155">
        <f>C17+D17+E17+F17+G17+H17+J17+K17+I17</f>
        <v>72111.59</v>
      </c>
      <c r="K19" s="156"/>
      <c r="L19" s="47"/>
    </row>
    <row r="20" spans="1:12" ht="18" x14ac:dyDescent="0.3">
      <c r="A20" s="46"/>
      <c r="B20" s="47"/>
      <c r="C20" s="49" t="s">
        <v>80</v>
      </c>
      <c r="D20" s="47"/>
      <c r="E20" s="60">
        <f>C17</f>
        <v>47500</v>
      </c>
      <c r="F20" s="61" t="s">
        <v>12</v>
      </c>
      <c r="G20" s="47"/>
      <c r="H20" s="47"/>
      <c r="I20" s="47"/>
      <c r="J20" s="157"/>
      <c r="K20" s="158"/>
      <c r="L20" s="47"/>
    </row>
    <row r="21" spans="1:12" ht="18" x14ac:dyDescent="0.3">
      <c r="A21" s="46"/>
      <c r="B21" s="47"/>
      <c r="C21" s="49" t="s">
        <v>89</v>
      </c>
      <c r="D21" s="47"/>
      <c r="E21" s="60">
        <f>J19-C17</f>
        <v>24611.589999999997</v>
      </c>
      <c r="F21" s="61" t="s">
        <v>14</v>
      </c>
      <c r="G21" s="47"/>
      <c r="H21" s="47"/>
      <c r="I21" s="47"/>
      <c r="J21" s="47"/>
      <c r="K21" s="47"/>
      <c r="L21" s="47"/>
    </row>
    <row r="22" spans="1:12" ht="18.600000000000001" thickBot="1" x14ac:dyDescent="0.35">
      <c r="A22" s="46"/>
      <c r="B22" s="47"/>
      <c r="C22" s="49"/>
      <c r="D22" s="47"/>
      <c r="E22" s="60"/>
      <c r="F22" s="61"/>
      <c r="G22" s="47"/>
      <c r="H22" s="47"/>
      <c r="I22" s="47"/>
      <c r="J22" s="47"/>
      <c r="K22" s="47"/>
      <c r="L22" s="47"/>
    </row>
    <row r="23" spans="1:12" ht="15" thickBot="1" x14ac:dyDescent="0.35">
      <c r="A23" s="46"/>
      <c r="B23" s="47"/>
      <c r="C23" s="47"/>
      <c r="D23" s="47"/>
      <c r="E23" s="62">
        <f>SUM(E20:E22)</f>
        <v>72111.59</v>
      </c>
      <c r="F23" s="47"/>
      <c r="G23" s="47"/>
      <c r="H23" s="47"/>
      <c r="I23" s="47"/>
      <c r="J23" s="47"/>
      <c r="K23" s="47"/>
      <c r="L23" s="47"/>
    </row>
    <row r="24" spans="1:12" x14ac:dyDescent="0.3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x14ac:dyDescent="0.3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</sheetData>
  <mergeCells count="3">
    <mergeCell ref="A1:L2"/>
    <mergeCell ref="C3:K3"/>
    <mergeCell ref="J19:K20"/>
  </mergeCells>
  <conditionalFormatting sqref="C13:L16">
    <cfRule type="cellIs" dxfId="1" priority="2" operator="greaterThan">
      <formula>0</formula>
    </cfRule>
  </conditionalFormatting>
  <conditionalFormatting sqref="C13:L16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5CC9-E6F2-4FDB-A8A9-16362A10573F}">
  <dimension ref="B2:K15"/>
  <sheetViews>
    <sheetView workbookViewId="0">
      <selection activeCell="B16" sqref="B16"/>
    </sheetView>
  </sheetViews>
  <sheetFormatPr defaultRowHeight="14.4" x14ac:dyDescent="0.3"/>
  <cols>
    <col min="2" max="2" width="11.109375" bestFit="1" customWidth="1"/>
    <col min="3" max="3" width="12.77734375" bestFit="1" customWidth="1"/>
    <col min="6" max="6" width="25.109375" bestFit="1" customWidth="1"/>
    <col min="7" max="7" width="9" bestFit="1" customWidth="1"/>
  </cols>
  <sheetData>
    <row r="2" spans="2:11" ht="15.6" x14ac:dyDescent="0.3">
      <c r="B2" s="159" t="s">
        <v>112</v>
      </c>
      <c r="C2" s="160"/>
      <c r="D2" s="161"/>
      <c r="E2" s="160"/>
      <c r="F2" s="160"/>
      <c r="G2" s="162"/>
      <c r="H2" s="163"/>
      <c r="I2" s="163"/>
      <c r="J2" s="163"/>
      <c r="K2" s="164"/>
    </row>
    <row r="3" spans="2:11" x14ac:dyDescent="0.3">
      <c r="B3" s="165">
        <v>44533</v>
      </c>
      <c r="C3" s="160" t="s">
        <v>113</v>
      </c>
      <c r="D3" s="161">
        <v>50</v>
      </c>
      <c r="E3" s="160" t="s">
        <v>114</v>
      </c>
      <c r="F3" s="160" t="s">
        <v>115</v>
      </c>
      <c r="G3" s="162">
        <v>430</v>
      </c>
      <c r="H3" s="163" t="s">
        <v>116</v>
      </c>
      <c r="I3" s="163"/>
      <c r="J3" s="163"/>
      <c r="K3" s="164"/>
    </row>
    <row r="4" spans="2:11" x14ac:dyDescent="0.3">
      <c r="B4" s="165">
        <v>44538</v>
      </c>
      <c r="C4" s="160" t="s">
        <v>113</v>
      </c>
      <c r="D4" s="161">
        <v>51</v>
      </c>
      <c r="E4" s="160" t="s">
        <v>117</v>
      </c>
      <c r="F4" s="160" t="s">
        <v>118</v>
      </c>
      <c r="G4" s="162">
        <v>3637.63</v>
      </c>
      <c r="H4" s="163" t="s">
        <v>119</v>
      </c>
      <c r="I4" s="163"/>
      <c r="J4" s="163"/>
      <c r="K4" s="164"/>
    </row>
    <row r="5" spans="2:11" x14ac:dyDescent="0.3">
      <c r="B5" s="165">
        <v>44543</v>
      </c>
      <c r="C5" s="160" t="s">
        <v>120</v>
      </c>
      <c r="D5" s="161">
        <v>52</v>
      </c>
      <c r="E5" s="160" t="s">
        <v>121</v>
      </c>
      <c r="F5" s="160" t="s">
        <v>122</v>
      </c>
      <c r="G5" s="162">
        <v>157.5</v>
      </c>
      <c r="H5" s="163" t="s">
        <v>123</v>
      </c>
      <c r="I5" s="163"/>
      <c r="J5" s="163"/>
      <c r="K5" s="164"/>
    </row>
    <row r="6" spans="2:11" x14ac:dyDescent="0.3">
      <c r="B6" s="165">
        <v>44559</v>
      </c>
      <c r="C6" s="160" t="s">
        <v>113</v>
      </c>
      <c r="D6" s="161">
        <v>53</v>
      </c>
      <c r="E6" s="160" t="s">
        <v>124</v>
      </c>
      <c r="F6" s="160" t="s">
        <v>125</v>
      </c>
      <c r="G6" s="162">
        <v>625</v>
      </c>
      <c r="H6" s="163" t="s">
        <v>126</v>
      </c>
      <c r="I6" s="163"/>
      <c r="J6" s="163"/>
      <c r="K6" s="164"/>
    </row>
    <row r="7" spans="2:11" x14ac:dyDescent="0.3">
      <c r="B7" s="165">
        <v>44561</v>
      </c>
      <c r="C7" s="160" t="s">
        <v>113</v>
      </c>
      <c r="D7" s="161">
        <v>54</v>
      </c>
      <c r="E7" s="160" t="s">
        <v>127</v>
      </c>
      <c r="F7" s="160" t="s">
        <v>128</v>
      </c>
      <c r="G7" s="162">
        <v>3.08</v>
      </c>
      <c r="H7" s="163" t="s">
        <v>129</v>
      </c>
      <c r="I7" s="163"/>
      <c r="J7" s="163"/>
      <c r="K7" s="164"/>
    </row>
    <row r="8" spans="2:11" x14ac:dyDescent="0.3">
      <c r="B8" s="165">
        <v>44532</v>
      </c>
      <c r="C8" s="160" t="s">
        <v>113</v>
      </c>
      <c r="D8" s="161">
        <v>55</v>
      </c>
      <c r="E8" s="160" t="s">
        <v>121</v>
      </c>
      <c r="F8" s="160" t="s">
        <v>130</v>
      </c>
      <c r="G8" s="162">
        <v>18</v>
      </c>
      <c r="H8" s="163" t="s">
        <v>131</v>
      </c>
      <c r="I8" s="163"/>
      <c r="J8" s="163"/>
      <c r="K8" s="164"/>
    </row>
    <row r="9" spans="2:11" x14ac:dyDescent="0.3">
      <c r="B9" s="165">
        <v>44543</v>
      </c>
      <c r="C9" s="160" t="s">
        <v>113</v>
      </c>
      <c r="D9" s="161">
        <v>56</v>
      </c>
      <c r="E9" s="160" t="s">
        <v>121</v>
      </c>
      <c r="F9" s="160" t="s">
        <v>130</v>
      </c>
      <c r="G9" s="162">
        <v>18</v>
      </c>
      <c r="H9" s="163" t="s">
        <v>132</v>
      </c>
      <c r="I9" s="163"/>
      <c r="J9" s="163"/>
      <c r="K9" s="164"/>
    </row>
    <row r="10" spans="2:11" x14ac:dyDescent="0.3">
      <c r="B10" s="165">
        <v>44543</v>
      </c>
      <c r="C10" s="160" t="s">
        <v>113</v>
      </c>
      <c r="D10" s="161">
        <v>57</v>
      </c>
      <c r="E10" s="160" t="s">
        <v>121</v>
      </c>
      <c r="F10" s="160" t="s">
        <v>133</v>
      </c>
      <c r="G10" s="162">
        <v>36</v>
      </c>
      <c r="H10" s="163" t="s">
        <v>134</v>
      </c>
      <c r="I10" s="163"/>
      <c r="J10" s="163"/>
      <c r="K10" s="164"/>
    </row>
    <row r="11" spans="2:11" x14ac:dyDescent="0.3">
      <c r="B11" s="165">
        <v>44545</v>
      </c>
      <c r="C11" s="160" t="s">
        <v>113</v>
      </c>
      <c r="D11" s="161">
        <v>58</v>
      </c>
      <c r="E11" s="160" t="s">
        <v>121</v>
      </c>
      <c r="F11" s="160" t="s">
        <v>135</v>
      </c>
      <c r="G11" s="162">
        <v>9</v>
      </c>
      <c r="H11" s="163" t="s">
        <v>136</v>
      </c>
      <c r="I11" s="163"/>
      <c r="J11" s="163"/>
      <c r="K11" s="164"/>
    </row>
    <row r="12" spans="2:11" x14ac:dyDescent="0.3">
      <c r="B12" s="165">
        <v>44547</v>
      </c>
      <c r="C12" s="160" t="s">
        <v>113</v>
      </c>
      <c r="D12" s="161">
        <v>59</v>
      </c>
      <c r="E12" s="160" t="s">
        <v>121</v>
      </c>
      <c r="F12" s="160" t="s">
        <v>135</v>
      </c>
      <c r="G12" s="162">
        <v>18</v>
      </c>
      <c r="H12" s="163" t="s">
        <v>137</v>
      </c>
      <c r="I12" s="163"/>
      <c r="J12" s="163"/>
      <c r="K12" s="164"/>
    </row>
    <row r="13" spans="2:11" x14ac:dyDescent="0.3">
      <c r="B13" s="165">
        <v>44551</v>
      </c>
      <c r="C13" s="160" t="s">
        <v>138</v>
      </c>
      <c r="D13" s="161">
        <v>60</v>
      </c>
      <c r="E13" s="160" t="s">
        <v>139</v>
      </c>
      <c r="F13" s="160" t="s">
        <v>140</v>
      </c>
      <c r="G13" s="162">
        <v>120.27</v>
      </c>
      <c r="H13" s="163" t="s">
        <v>141</v>
      </c>
      <c r="I13" s="163"/>
      <c r="J13" s="163"/>
      <c r="K13" s="164"/>
    </row>
    <row r="14" spans="2:11" x14ac:dyDescent="0.3">
      <c r="B14" s="165">
        <v>44559</v>
      </c>
      <c r="C14" s="160" t="s">
        <v>113</v>
      </c>
      <c r="D14" s="161">
        <v>61</v>
      </c>
      <c r="E14" s="160" t="s">
        <v>121</v>
      </c>
      <c r="F14" s="160" t="s">
        <v>135</v>
      </c>
      <c r="G14" s="162">
        <v>18</v>
      </c>
      <c r="H14" s="163" t="s">
        <v>142</v>
      </c>
      <c r="I14" s="163"/>
      <c r="J14" s="163"/>
      <c r="K14" s="164"/>
    </row>
    <row r="15" spans="2:11" x14ac:dyDescent="0.3">
      <c r="B15" s="165"/>
      <c r="C15" s="160"/>
      <c r="D15" s="161"/>
      <c r="E15" s="160"/>
      <c r="F15" s="160"/>
      <c r="G15" s="162"/>
      <c r="H15" s="160"/>
      <c r="I15" s="160"/>
      <c r="J15" s="160"/>
      <c r="K15" s="166"/>
    </row>
  </sheetData>
  <mergeCells count="13">
    <mergeCell ref="H14:K14"/>
    <mergeCell ref="H8:K8"/>
    <mergeCell ref="H9:K9"/>
    <mergeCell ref="H10:K10"/>
    <mergeCell ref="H11:K11"/>
    <mergeCell ref="H12:K12"/>
    <mergeCell ref="H13:K13"/>
    <mergeCell ref="H2:K2"/>
    <mergeCell ref="H3:K3"/>
    <mergeCell ref="H4:K4"/>
    <mergeCell ref="H5:K5"/>
    <mergeCell ref="H6:K6"/>
    <mergeCell ref="H7: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A5B89-CC8D-4EA3-9136-762C0F98B238}">
  <dimension ref="A1"/>
  <sheetViews>
    <sheetView tabSelected="1" workbookViewId="0">
      <selection activeCell="O18" sqref="O1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Cashbook Summary</vt:lpstr>
      <vt:lpstr>Expenditure Summary</vt:lpstr>
      <vt:lpstr>Expenditure Summary 2</vt:lpstr>
      <vt:lpstr>Income Summary</vt:lpstr>
      <vt:lpstr>Bank Receipts December</vt:lpstr>
      <vt:lpstr>Payments to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Hayward</dc:creator>
  <cp:lastModifiedBy>Paul Hayward</cp:lastModifiedBy>
  <dcterms:created xsi:type="dcterms:W3CDTF">2022-02-09T12:01:20Z</dcterms:created>
  <dcterms:modified xsi:type="dcterms:W3CDTF">2022-02-09T14:57:33Z</dcterms:modified>
</cp:coreProperties>
</file>